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at2aOg1gnPzC+xZb31SF0biEyjKcK4MshbbSJ/X6p++VPBUXpqEQ5itwx7R+Omay0RVYk2Hse9tVXdeJ00nEA==" workbookSaltValue="cah1hauvfoc5D3AeK1a4b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AZ12" i="11"/>
  <c r="AZ11" i="11"/>
  <c r="Q18" i="17"/>
  <c r="BH10" i="11"/>
  <c r="AQ10" i="21"/>
  <c r="AO29" i="17"/>
  <c r="S10" i="17"/>
  <c r="BI29" i="11"/>
  <c r="BG17" i="11"/>
  <c r="BM21" i="11"/>
  <c r="AO25" i="17"/>
  <c r="BJ17" i="11"/>
  <c r="BL17" i="11"/>
  <c r="T14" i="20"/>
  <c r="BH22" i="11"/>
  <c r="BF25" i="8"/>
  <c r="AY14" i="8"/>
  <c r="BD9" i="8"/>
  <c r="BF9" i="8"/>
  <c r="L10" i="2"/>
  <c r="C30" i="7"/>
  <c r="S17" i="17"/>
  <c r="L25" i="2"/>
  <c r="L13" i="2"/>
  <c r="X10" i="21"/>
  <c r="AO14" i="21"/>
  <c r="L19" i="2"/>
  <c r="U9" i="17"/>
  <c r="U31" i="17" s="1"/>
  <c r="L9" i="2"/>
  <c r="AP14" i="16"/>
  <c r="V25" i="16"/>
  <c r="X13" i="16"/>
  <c r="T23" i="17"/>
  <c r="T26" i="17" s="1"/>
  <c r="T30" i="17" s="1"/>
  <c r="BG16" i="13"/>
  <c r="BE17" i="13"/>
  <c r="BE16" i="13"/>
  <c r="X32" i="20"/>
  <c r="G30" i="14"/>
  <c r="G23" i="14"/>
  <c r="BF17" i="8" l="1"/>
  <c r="E23" i="12"/>
  <c r="AK31" i="8"/>
  <c r="BD12" i="8"/>
  <c r="H12" i="7" s="1"/>
  <c r="I10" i="3"/>
  <c r="E10" i="3"/>
  <c r="V9" i="16"/>
  <c r="AA9" i="16"/>
  <c r="L21" i="2"/>
  <c r="AA11" i="16"/>
  <c r="L20" i="2"/>
  <c r="L18" i="2"/>
  <c r="X19" i="16"/>
  <c r="L12" i="2"/>
  <c r="S16" i="17"/>
  <c r="X21" i="20"/>
  <c r="L28" i="2"/>
  <c r="BK22" i="11"/>
  <c r="BH12" i="16"/>
  <c r="BM9" i="11"/>
  <c r="S18" i="17"/>
  <c r="BH11" i="11"/>
  <c r="BH10" i="16"/>
  <c r="BL10" i="11"/>
  <c r="BL28" i="11"/>
  <c r="BI9" i="11"/>
  <c r="BI20" i="11"/>
  <c r="BG12" i="11"/>
  <c r="S11" i="14"/>
  <c r="V11" i="14" s="1"/>
  <c r="R28" i="14"/>
  <c r="S11" i="17"/>
  <c r="BV10" i="16"/>
  <c r="BW16" i="20"/>
  <c r="BW17" i="20"/>
  <c r="BU21" i="17"/>
  <c r="BU11" i="17"/>
  <c r="BJ28" i="11"/>
  <c r="AZ9" i="11"/>
  <c r="AZ14" i="11" s="1"/>
  <c r="AZ13" i="11"/>
  <c r="BI19" i="11"/>
  <c r="BI25" i="11"/>
  <c r="BG22" i="11"/>
  <c r="Q18" i="20"/>
  <c r="Q23" i="20" s="1"/>
  <c r="V16" i="11"/>
  <c r="Z14" i="17"/>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AK32" i="16"/>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Z32" i="11"/>
  <c r="AS32" i="17"/>
  <c r="BQ32" i="16"/>
  <c r="G32" i="12"/>
  <c r="AM32" i="21"/>
  <c r="E32" i="17"/>
  <c r="AM32" i="16"/>
  <c r="AV32" i="11"/>
  <c r="AR32" i="16"/>
  <c r="F32" i="17"/>
  <c r="AH32" i="21"/>
  <c r="U32" i="16"/>
  <c r="AS32" i="21"/>
  <c r="AC32" i="21"/>
  <c r="AL32" i="11"/>
  <c r="T32" i="16"/>
  <c r="P32" i="17"/>
  <c r="BD32" i="21"/>
  <c r="AO32" i="21"/>
  <c r="V32" i="20"/>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<sst xmlns="http://schemas.openxmlformats.org/spreadsheetml/2006/main" count="2682" uniqueCount="1192">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</sst>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NU7MaW5GSOqLqXZgH1966aXpWh9LOqIjfG9Ks71Onz63IUzIYR288PMK89SkWP7INLNGGSzvLAn3q2yuE0Lw==" saltValue="4r6b8GekocMQCKsn50R0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59</v>
      </c>
      <c r="E10" s="240">
        <f>IF(ISNUMBER(Datos!J10),Datos!J10," - ")</f>
        <v>43</v>
      </c>
      <c r="F10" s="240">
        <f>IF(ISNUMBER(Datos!K10),Datos!K10," - ")</f>
        <v>34</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0.69230769230769229</v>
      </c>
      <c r="L10" s="1402">
        <f>IF(ISNUMBER(NºAsuntos!I10/NºAsuntos!G10),(NºAsuntos!I10/NºAsuntos!G10)*11," - ")</f>
        <v>7.1176470588235299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7.0370860927152314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59</v>
      </c>
      <c r="E14" s="1408">
        <f>SUBTOTAL(9,E9:E13)</f>
        <v>43</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938</v>
      </c>
      <c r="D17" s="239">
        <f>IF(ISNUMBER(IF(D_I="SI",Datos!I17,Datos!I17+Datos!AC17)),IF(D_I="SI",Datos!I17,Datos!I17+Datos!AC17)," - ")</f>
        <v>785</v>
      </c>
      <c r="E17" s="240">
        <f>IF(ISNUMBER(IF(D_I="SI",Datos!J17,Datos!J17+Datos!AD17)),IF(D_I="SI",Datos!J17,Datos!J17+Datos!AD17)," - ")</f>
        <v>3918</v>
      </c>
      <c r="F17" s="240">
        <f>IF(ISNUMBER(IF(D_I="SI",Datos!K17,Datos!K17+Datos!AE17)),IF(D_I="SI",Datos!K17,Datos!K17+Datos!AE17)," - ")</f>
        <v>4124</v>
      </c>
      <c r="G17" s="1390" t="str">
        <f>IF(Datos!E17&lt;&gt;"",Datos!E17,Datos!D17)</f>
        <v>04</v>
      </c>
      <c r="H17" s="241">
        <f>IF(ISNUMBER(IF(D_I="SI",Datos!L17,Datos!L17+Datos!AF17)),IF(D_I="SI",Datos!L17,Datos!L17+Datos!AF17)," - ")</f>
        <v>732</v>
      </c>
      <c r="I17" s="1400" t="str">
        <f>IF(ISNUMBER(Datos!AS17/Datos!BM17),Datos!AS17/Datos!BM17," - ")</f>
        <v xml:space="preserve"> - </v>
      </c>
      <c r="J17" s="1401">
        <f>IF(ISNUMBER(Datos!BY17/Datos!CN17),Datos!BY17/Datos!CN17," - ")</f>
        <v>0</v>
      </c>
      <c r="K17" s="244">
        <f t="shared" si="3"/>
        <v>-0.21961620469083157</v>
      </c>
      <c r="L17" s="1402">
        <f>IF(ISNUMBER(NºAsuntos!I17/NºAsuntos!G17),(NºAsuntos!I17/NºAsuntos!G17)*11," - ")</f>
        <v>1.9524733268671195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77</v>
      </c>
      <c r="D18" s="239">
        <f>IF(ISNUMBER(IF(D_I="SI",Datos!I18,Datos!I18+Datos!AC18)),IF(D_I="SI",Datos!I18,Datos!I18+Datos!AC18)," - ")</f>
        <v>72</v>
      </c>
      <c r="E18" s="240">
        <f>IF(ISNUMBER(IF(D_I="SI",Datos!J18,Datos!J18+Datos!AD18)),IF(D_I="SI",Datos!J18,Datos!J18+Datos!AD18)," - ")</f>
        <v>450</v>
      </c>
      <c r="F18" s="240">
        <f>IF(ISNUMBER(IF(D_I="SI",Datos!K18,Datos!K18+Datos!AE18)),IF(D_I="SI",Datos!K18,Datos!K18+Datos!AE18)," - ")</f>
        <v>410</v>
      </c>
      <c r="G18" s="1390" t="str">
        <f>IF(Datos!E18&lt;&gt;"",Datos!E18,Datos!D18)</f>
        <v>37</v>
      </c>
      <c r="H18" s="241">
        <f>IF(ISNUMBER(IF(D_I="SI",Datos!L18,Datos!L18+Datos!AF18)),IF(D_I="SI",Datos!L18,Datos!L18+Datos!AF18)," - ")</f>
        <v>117</v>
      </c>
      <c r="I18" s="1400" t="str">
        <f>IF(ISNUMBER(Datos!AS18/Datos!BM18),Datos!AS18/Datos!BM18," - ")</f>
        <v xml:space="preserve"> - </v>
      </c>
      <c r="J18" s="1401" t="str">
        <f>IF(ISNUMBER((Datos!BY18+Datos!BZ18)/Datos!CN18),(Datos!BY18+Datos!BZ18)/Datos!CN18," - ")</f>
        <v xml:space="preserve"> - </v>
      </c>
      <c r="K18" s="244">
        <f t="shared" si="3"/>
        <v>0.51948051948051943</v>
      </c>
      <c r="L18" s="1402">
        <f>IF(ISNUMBER(NºAsuntos!I18/NºAsuntos!G18),(NºAsuntos!I18/NºAsuntos!G18)*11," - ")</f>
        <v>3.1390243902439021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1015</v>
      </c>
      <c r="D23" s="1407">
        <f>SUBTOTAL(9,D16:D22)</f>
        <v>857</v>
      </c>
      <c r="E23" s="1408">
        <f>SUBTOTAL(9,E16:E22)</f>
        <v>4368</v>
      </c>
      <c r="F23" s="1408">
        <f>SUBTOTAL(9,F16:F22)</f>
        <v>4534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1028</v>
      </c>
      <c r="D31" s="1435">
        <f>SUBTOTAL(9,D9:D30)</f>
        <v>916</v>
      </c>
      <c r="E31" s="1436">
        <f>SUBTOTAL(9,E9:E30)</f>
        <v>4411</v>
      </c>
      <c r="F31" s="1436">
        <f>SUBTOTAL(9,F9:F30)</f>
        <v>4568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YioY47P2wa+NvpLtm0Dnkt9zd8yo93DDwJAqhEoGjJGKqkfjNxr57UdsHKf9wESvDH5wYxL1eiY8zEvsR11eUw==" saltValue="W10v57R2HmErmjFKGXFPf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oXl7J5b7waYwQwNVN1z880BVBdV1X58uynjkPmWKkoMLdt0ofSqboZpmOTBmLGm9R+oMpU59k3WK1mXT0dYgQ==" saltValue="U/dhbJU2GCNP5sJIjygB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59</v>
      </c>
      <c r="J10" s="194">
        <v>43</v>
      </c>
      <c r="K10" s="194">
        <v>34</v>
      </c>
      <c r="L10" s="194">
        <v>22</v>
      </c>
      <c r="M10" s="194">
        <v>6</v>
      </c>
      <c r="N10" s="194">
        <v>22</v>
      </c>
      <c r="O10" s="194">
        <v>5</v>
      </c>
      <c r="P10" s="194">
        <v>12</v>
      </c>
      <c r="Q10" s="194">
        <v>10</v>
      </c>
      <c r="R10" s="194">
        <v>88</v>
      </c>
      <c r="S10" s="194">
        <v>60</v>
      </c>
      <c r="T10" s="194">
        <v>32</v>
      </c>
      <c r="U10" s="194">
        <v>33</v>
      </c>
      <c r="V10" s="194">
        <v>59</v>
      </c>
      <c r="W10" s="194">
        <v>7</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60</v>
      </c>
      <c r="AZ10" s="139">
        <f t="shared" si="0"/>
        <v>32</v>
      </c>
      <c r="BA10" s="139">
        <f t="shared" si="0"/>
        <v>33</v>
      </c>
      <c r="BB10" s="139">
        <f t="shared" si="0"/>
        <v>59</v>
      </c>
      <c r="BC10" s="135">
        <f t="shared" si="0"/>
        <v>7</v>
      </c>
      <c r="BD10" s="136">
        <f>IF(ISNUMBER(BA10/AZ10),BA10/AZ10," - ")</f>
        <v>1.03125</v>
      </c>
      <c r="BE10" s="137">
        <f>IF(ISNUMBER(BB10/BA10),BB10/BA10, " - ")</f>
        <v>1.7878787878787878</v>
      </c>
      <c r="BF10" s="137">
        <f>IF(ISNUMBER(BC10/BA10),BC10/BA10, " - ")</f>
        <v>0.21212121212121213</v>
      </c>
      <c r="BG10" s="209">
        <f>IF(ISNUMBER((AY10+AZ10)/BA10),(AY10+AZ10)/BA10," - ")</f>
        <v>2.7878787878787881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2871</v>
      </c>
      <c r="J12" s="196">
        <v>3922</v>
      </c>
      <c r="K12" s="196">
        <v>3892</v>
      </c>
      <c r="L12" s="196">
        <v>2739</v>
      </c>
      <c r="M12" s="196">
        <v>743</v>
      </c>
      <c r="N12" s="196">
        <v>2507</v>
      </c>
      <c r="O12" s="194">
        <v>1647</v>
      </c>
      <c r="P12" s="196">
        <v>802</v>
      </c>
      <c r="Q12" s="196">
        <v>1086</v>
      </c>
      <c r="R12" s="196">
        <v>3430</v>
      </c>
      <c r="S12" s="196">
        <v>2606</v>
      </c>
      <c r="T12" s="196">
        <v>3679</v>
      </c>
      <c r="U12" s="196">
        <v>3471</v>
      </c>
      <c r="V12" s="196">
        <v>2871</v>
      </c>
      <c r="W12" s="196">
        <v>800</v>
      </c>
      <c r="X12" s="202">
        <v>2073</v>
      </c>
      <c r="Y12" s="204">
        <v>154</v>
      </c>
      <c r="Z12" s="194">
        <v>627</v>
      </c>
      <c r="AA12" s="194">
        <v>638</v>
      </c>
      <c r="AB12" s="194">
        <v>159</v>
      </c>
      <c r="AC12" s="196">
        <v>0</v>
      </c>
      <c r="AD12" s="196">
        <v>0</v>
      </c>
      <c r="AE12" s="196">
        <v>0</v>
      </c>
      <c r="AF12" s="202">
        <v>0</v>
      </c>
      <c r="AG12" s="215">
        <v>204</v>
      </c>
      <c r="AH12" s="196">
        <v>603</v>
      </c>
      <c r="AI12" s="196">
        <v>612</v>
      </c>
      <c r="AJ12" s="216">
        <v>154</v>
      </c>
      <c r="AK12" s="195">
        <v>0</v>
      </c>
      <c r="AL12" s="196">
        <v>0</v>
      </c>
      <c r="AM12" s="196">
        <v>0</v>
      </c>
      <c r="AN12" s="202">
        <v>0</v>
      </c>
      <c r="AO12" s="283">
        <v>5</v>
      </c>
      <c r="AP12" s="168">
        <v>5</v>
      </c>
      <c r="AQ12" s="168">
        <v>5</v>
      </c>
      <c r="AR12" s="167">
        <v>5</v>
      </c>
      <c r="AS12" s="381" t="s">
        <v>1075</v>
      </c>
      <c r="AT12" s="216"/>
      <c r="AU12" s="215"/>
      <c r="AV12" s="216"/>
      <c r="AW12" s="215"/>
      <c r="AX12" s="216"/>
      <c r="AY12" s="136">
        <f t="shared" si="1"/>
        <v>2810</v>
      </c>
      <c r="AZ12" s="137">
        <f t="shared" si="1"/>
        <v>4282</v>
      </c>
      <c r="BA12" s="137">
        <f t="shared" si="1"/>
        <v>4083</v>
      </c>
      <c r="BB12" s="137">
        <f t="shared" si="1"/>
        <v>3025</v>
      </c>
      <c r="BC12" s="135">
        <f>IF(ISNUMBER(X12),X12," - ")</f>
        <v>2073</v>
      </c>
      <c r="BD12" s="136">
        <f t="shared" si="2"/>
        <v>0.95352638953759927</v>
      </c>
      <c r="BE12" s="137">
        <f t="shared" si="3"/>
        <v>0.7408768062698996</v>
      </c>
      <c r="BF12" s="137">
        <f t="shared" si="4"/>
        <v>0.50771491550330639</v>
      </c>
      <c r="BG12" s="209">
        <f t="shared" si="5"/>
        <v>1.7369581190301249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2930</v>
      </c>
      <c r="J14" s="197">
        <f t="shared" si="7"/>
        <v>3965</v>
      </c>
      <c r="K14" s="197">
        <f t="shared" si="7"/>
        <v>3926</v>
      </c>
      <c r="L14" s="197">
        <f t="shared" si="7"/>
        <v>2761</v>
      </c>
      <c r="M14" s="197">
        <f t="shared" si="7"/>
        <v>749</v>
      </c>
      <c r="N14" s="197">
        <f t="shared" si="7"/>
        <v>2529</v>
      </c>
      <c r="O14" s="197">
        <f t="shared" si="7"/>
        <v>1652</v>
      </c>
      <c r="P14" s="197">
        <f t="shared" si="7"/>
        <v>814</v>
      </c>
      <c r="Q14" s="197">
        <f t="shared" si="7"/>
        <v>1096</v>
      </c>
      <c r="R14" s="197">
        <f t="shared" si="7"/>
        <v>3518</v>
      </c>
      <c r="S14" s="197">
        <f t="shared" si="7"/>
        <v>2666</v>
      </c>
      <c r="T14" s="197">
        <f t="shared" si="7"/>
        <v>3711</v>
      </c>
      <c r="U14" s="197">
        <f t="shared" si="7"/>
        <v>3504</v>
      </c>
      <c r="V14" s="197">
        <f t="shared" si="7"/>
        <v>2930</v>
      </c>
      <c r="W14" s="197">
        <f t="shared" si="7"/>
        <v>807</v>
      </c>
      <c r="X14" s="197">
        <f t="shared" si="7"/>
        <v>2079</v>
      </c>
      <c r="Y14" s="197">
        <f t="shared" si="7"/>
        <v>154</v>
      </c>
      <c r="Z14" s="197">
        <f t="shared" si="7"/>
        <v>627</v>
      </c>
      <c r="AA14" s="197">
        <f t="shared" si="7"/>
        <v>638</v>
      </c>
      <c r="AB14" s="197">
        <f t="shared" si="7"/>
        <v>159</v>
      </c>
      <c r="AC14" s="197">
        <f t="shared" si="7"/>
        <v>0</v>
      </c>
      <c r="AD14" s="197">
        <f t="shared" si="7"/>
        <v>0</v>
      </c>
      <c r="AE14" s="197">
        <f t="shared" si="7"/>
        <v>0</v>
      </c>
      <c r="AF14" s="197">
        <f>SUBTOTAL(9,AF9:AF13)</f>
        <v>0</v>
      </c>
      <c r="AG14" s="197">
        <f t="shared" ref="AG14:AT14" si="8">SUBTOTAL(9,AG8:AG13)</f>
        <v>204</v>
      </c>
      <c r="AH14" s="197">
        <f t="shared" si="8"/>
        <v>603</v>
      </c>
      <c r="AI14" s="197">
        <f t="shared" si="8"/>
        <v>612</v>
      </c>
      <c r="AJ14" s="197">
        <f t="shared" si="8"/>
        <v>154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2870</v>
      </c>
      <c r="AZ14" s="197">
        <f>SUBTOTAL(9,AZ8:AZ13)</f>
        <v>4314</v>
      </c>
      <c r="BA14" s="197">
        <f>SUBTOTAL(9,BA8:BA13)</f>
        <v>4116</v>
      </c>
      <c r="BB14" s="197">
        <f>SUBTOTAL(9,BB8:BB13)</f>
        <v>3084</v>
      </c>
      <c r="BC14" s="197">
        <f>SUBTOTAL(9,BC8:BC13)</f>
        <v>2080</v>
      </c>
      <c r="BD14" s="219">
        <f>IF(ISNUMBER(BA14/AZ14),BA14/AZ14," - ")</f>
        <v>0.95410292072322667</v>
      </c>
      <c r="BE14" s="220">
        <f>IF(ISNUMBER(BB14/BA14),BB14/BA14, " - ")</f>
        <v>0.74927113702623904</v>
      </c>
      <c r="BF14" s="220">
        <f>IF(ISNUMBER(BC14/BA14),BC14/BA14, " - ")</f>
        <v>0.50534499514091347</v>
      </c>
      <c r="BG14" s="221">
        <f>IF(ISNUMBER((AY14+AZ14)/BA14),(AY14+AZ14)/BA14," - ")</f>
        <v>1.7453838678328475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785</v>
      </c>
      <c r="J17" s="196">
        <v>3918</v>
      </c>
      <c r="K17" s="196">
        <v>4124</v>
      </c>
      <c r="L17" s="196">
        <v>732</v>
      </c>
      <c r="M17" s="196">
        <v>348</v>
      </c>
      <c r="N17" s="196">
        <v>2742</v>
      </c>
      <c r="O17" s="194">
        <v>49</v>
      </c>
      <c r="P17" s="196">
        <v>79</v>
      </c>
      <c r="Q17" s="196">
        <v>64</v>
      </c>
      <c r="R17" s="196">
        <v>94</v>
      </c>
      <c r="S17" s="196">
        <v>812</v>
      </c>
      <c r="T17" s="196">
        <v>3171</v>
      </c>
      <c r="U17" s="196">
        <v>3301</v>
      </c>
      <c r="V17" s="196">
        <v>785</v>
      </c>
      <c r="W17" s="196">
        <v>294</v>
      </c>
      <c r="X17" s="202">
        <v>1842</v>
      </c>
      <c r="Y17" s="215">
        <v>0</v>
      </c>
      <c r="Z17" s="196">
        <v>0</v>
      </c>
      <c r="AA17" s="196">
        <v>0</v>
      </c>
      <c r="AB17" s="196">
        <v>0</v>
      </c>
      <c r="AC17" s="196">
        <v>2</v>
      </c>
      <c r="AD17" s="196">
        <v>1</v>
      </c>
      <c r="AE17" s="196">
        <v>3</v>
      </c>
      <c r="AF17" s="202">
        <v>0</v>
      </c>
      <c r="AG17" s="215">
        <v>0</v>
      </c>
      <c r="AH17" s="196">
        <v>0</v>
      </c>
      <c r="AI17" s="196">
        <v>0</v>
      </c>
      <c r="AJ17" s="216">
        <v>0</v>
      </c>
      <c r="AK17" s="195">
        <v>2</v>
      </c>
      <c r="AL17" s="196">
        <v>12</v>
      </c>
      <c r="AM17" s="196">
        <v>12</v>
      </c>
      <c r="AN17" s="202">
        <v>2</v>
      </c>
      <c r="AO17" s="283">
        <v>5</v>
      </c>
      <c r="AP17" s="168">
        <v>5</v>
      </c>
      <c r="AQ17" s="168">
        <v>5</v>
      </c>
      <c r="AR17" s="168">
        <v>5</v>
      </c>
      <c r="AS17" s="381" t="s">
        <v>650</v>
      </c>
      <c r="AT17" s="216"/>
      <c r="AU17" s="215"/>
      <c r="AV17" s="216"/>
      <c r="AW17" s="215"/>
      <c r="AX17" s="216"/>
      <c r="AY17" s="136">
        <f t="shared" si="10"/>
        <v>812</v>
      </c>
      <c r="AZ17" s="137">
        <f t="shared" si="10"/>
        <v>3171</v>
      </c>
      <c r="BA17" s="137">
        <f t="shared" si="10"/>
        <v>3301</v>
      </c>
      <c r="BB17" s="137">
        <f t="shared" si="10"/>
        <v>785</v>
      </c>
      <c r="BC17" s="135">
        <f>IF(ISNUMBER(W17),W17," - ")</f>
        <v>294</v>
      </c>
      <c r="BD17" s="136">
        <f t="shared" ref="BD17:BD22" si="12">IF(ISNUMBER(BA17/AZ17),BA17/AZ17," - ")</f>
        <v>1.0409965310627562</v>
      </c>
      <c r="BE17" s="137">
        <f t="shared" ref="BE17:BE22" si="13">IF(ISNUMBER(BB17/BA17),BB17/BA17, " - ")</f>
        <v>0.23780672523477733</v>
      </c>
      <c r="BF17" s="137">
        <f t="shared" ref="BF17:BF22" si="14">IF(ISNUMBER(BC17/BA17),BC17/BA17, " - ")</f>
        <v>8.9063920024235077E-2</v>
      </c>
      <c r="BG17" s="209">
        <f t="shared" si="11"/>
        <v>1.2066040593759466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72</v>
      </c>
      <c r="J18" s="196">
        <v>450</v>
      </c>
      <c r="K18" s="196">
        <v>410</v>
      </c>
      <c r="L18" s="196">
        <v>117</v>
      </c>
      <c r="M18" s="196">
        <v>33</v>
      </c>
      <c r="N18" s="196">
        <v>251</v>
      </c>
      <c r="O18" s="196">
        <v>0</v>
      </c>
      <c r="P18" s="196">
        <v>3</v>
      </c>
      <c r="Q18" s="196">
        <v>3</v>
      </c>
      <c r="R18" s="196">
        <v>2</v>
      </c>
      <c r="S18" s="196">
        <v>83</v>
      </c>
      <c r="T18" s="196">
        <v>272</v>
      </c>
      <c r="U18" s="196">
        <v>285</v>
      </c>
      <c r="V18" s="196">
        <v>72</v>
      </c>
      <c r="W18" s="196">
        <v>24</v>
      </c>
      <c r="X18" s="202">
        <v>186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83</v>
      </c>
      <c r="AZ18" s="139">
        <f t="shared" si="15"/>
        <v>272</v>
      </c>
      <c r="BA18" s="139">
        <f t="shared" si="15"/>
        <v>285</v>
      </c>
      <c r="BB18" s="139">
        <f t="shared" si="15"/>
        <v>72</v>
      </c>
      <c r="BC18" s="135">
        <f>IF(ISNUMBER(W18),W18," - ")</f>
        <v>24</v>
      </c>
      <c r="BD18" s="136">
        <f>IF(ISNUMBER(BA18/AZ18),BA18/AZ18," - ")</f>
        <v>1.0477941176470589</v>
      </c>
      <c r="BE18" s="137">
        <f>IF(ISNUMBER(BB18/BA18),BB18/BA18, " - ")</f>
        <v>0.25263157894736843</v>
      </c>
      <c r="BF18" s="137">
        <f>IF(ISNUMBER(BC18/BA18),BC18/BA18, " - ")</f>
        <v>8.4210526315789472E-2</v>
      </c>
      <c r="BG18" s="209">
        <f>IF(ISNUMBER((AY18+AZ18)/BA18),(AY18+AZ18)/BA18," - ")</f>
        <v>1.2456140350877194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857</v>
      </c>
      <c r="J23" s="197">
        <f t="shared" si="21"/>
        <v>4368</v>
      </c>
      <c r="K23" s="197">
        <f t="shared" si="21"/>
        <v>4534</v>
      </c>
      <c r="L23" s="197">
        <f t="shared" si="21"/>
        <v>849</v>
      </c>
      <c r="M23" s="197">
        <f t="shared" si="21"/>
        <v>381</v>
      </c>
      <c r="N23" s="197">
        <f t="shared" si="21"/>
        <v>2993</v>
      </c>
      <c r="O23" s="197">
        <f t="shared" si="21"/>
        <v>49</v>
      </c>
      <c r="P23" s="197">
        <f t="shared" si="21"/>
        <v>82</v>
      </c>
      <c r="Q23" s="197">
        <f t="shared" si="21"/>
        <v>67</v>
      </c>
      <c r="R23" s="197">
        <f t="shared" si="21"/>
        <v>96</v>
      </c>
      <c r="S23" s="197">
        <f t="shared" si="21"/>
        <v>895</v>
      </c>
      <c r="T23" s="197">
        <f t="shared" si="21"/>
        <v>3443</v>
      </c>
      <c r="U23" s="197">
        <f t="shared" si="21"/>
        <v>3586</v>
      </c>
      <c r="V23" s="197">
        <f t="shared" si="21"/>
        <v>857</v>
      </c>
      <c r="W23" s="197">
        <f t="shared" si="21"/>
        <v>318</v>
      </c>
      <c r="X23" s="197">
        <f t="shared" si="21"/>
        <v>2028</v>
      </c>
      <c r="Y23" s="197">
        <f t="shared" si="21"/>
        <v>0</v>
      </c>
      <c r="Z23" s="197">
        <f t="shared" si="21"/>
        <v>0</v>
      </c>
      <c r="AA23" s="197">
        <f t="shared" si="21"/>
        <v>0</v>
      </c>
      <c r="AB23" s="197">
        <f t="shared" si="21"/>
        <v>0</v>
      </c>
      <c r="AC23" s="197">
        <f t="shared" si="21"/>
        <v>2</v>
      </c>
      <c r="AD23" s="197">
        <f t="shared" si="21"/>
        <v>1</v>
      </c>
      <c r="AE23" s="197">
        <f t="shared" si="21"/>
        <v>3</v>
      </c>
      <c r="AF23" s="197">
        <f t="shared" si="21"/>
        <v>0</v>
      </c>
      <c r="AG23" s="197">
        <f t="shared" si="21"/>
        <v>0</v>
      </c>
      <c r="AH23" s="197">
        <f t="shared" si="21"/>
        <v>0</v>
      </c>
      <c r="AI23" s="197">
        <f t="shared" si="21"/>
        <v>0</v>
      </c>
      <c r="AJ23" s="197">
        <f t="shared" si="21"/>
        <v>0</v>
      </c>
      <c r="AK23" s="197">
        <f t="shared" si="21"/>
        <v>2</v>
      </c>
      <c r="AL23" s="197">
        <f t="shared" si="21"/>
        <v>12</v>
      </c>
      <c r="AM23" s="197">
        <f t="shared" si="21"/>
        <v>12</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895</v>
      </c>
      <c r="AZ23" s="197">
        <f>SUBTOTAL(9,AZ15:AZ22)</f>
        <v>3443</v>
      </c>
      <c r="BA23" s="197">
        <f>SUBTOTAL(9,BA15:BA22)</f>
        <v>3586</v>
      </c>
      <c r="BB23" s="197">
        <f>SUBTOTAL(9,BB15:BB22)</f>
        <v>857</v>
      </c>
      <c r="BC23" s="197">
        <f>SUBTOTAL(9,BC15:BC22)</f>
        <v>318</v>
      </c>
      <c r="BD23" s="219">
        <f>IF(ISNUMBER(BA23/AZ23),BA23/AZ23," - ")</f>
        <v>1.0415335463258786</v>
      </c>
      <c r="BE23" s="220">
        <f>IF(ISNUMBER(BB23/BA23),BB23/BA23, " - ")</f>
        <v>0.23898494143892918</v>
      </c>
      <c r="BF23" s="220">
        <f>IF(ISNUMBER(BC23/BA23),BC23/BA23, " - ")</f>
        <v>8.8678192972671502E-2</v>
      </c>
      <c r="BG23" s="221">
        <f>IF(ISNUMBER((AY23+AZ23)/BA23),(AY23+AZ23)/BA23," - ")</f>
        <v>1.2097044060234243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3787</v>
      </c>
      <c r="J31" s="144">
        <f t="shared" si="36"/>
        <v>8333</v>
      </c>
      <c r="K31" s="144">
        <f t="shared" si="36"/>
        <v>8460</v>
      </c>
      <c r="L31" s="144">
        <f t="shared" si="36"/>
        <v>3610</v>
      </c>
      <c r="M31" s="144">
        <f t="shared" si="36"/>
        <v>1130</v>
      </c>
      <c r="N31" s="144">
        <f t="shared" si="36"/>
        <v>5522</v>
      </c>
      <c r="O31" s="144">
        <f t="shared" si="36"/>
        <v>1701</v>
      </c>
      <c r="P31" s="144">
        <f t="shared" si="36"/>
        <v>896</v>
      </c>
      <c r="Q31" s="144">
        <f t="shared" si="36"/>
        <v>1163</v>
      </c>
      <c r="R31" s="144">
        <f t="shared" si="36"/>
        <v>3614</v>
      </c>
      <c r="S31" s="144">
        <f t="shared" si="36"/>
        <v>3561</v>
      </c>
      <c r="T31" s="144">
        <f t="shared" si="36"/>
        <v>7154</v>
      </c>
      <c r="U31" s="144">
        <f t="shared" si="36"/>
        <v>7090</v>
      </c>
      <c r="V31" s="144">
        <f t="shared" si="36"/>
        <v>3787</v>
      </c>
      <c r="W31" s="144">
        <f t="shared" si="36"/>
        <v>1125</v>
      </c>
      <c r="X31" s="144">
        <f t="shared" si="36"/>
        <v>4107</v>
      </c>
      <c r="Y31" s="144">
        <f t="shared" si="36"/>
        <v>154</v>
      </c>
      <c r="Z31" s="144">
        <f t="shared" si="36"/>
        <v>627</v>
      </c>
      <c r="AA31" s="144">
        <f t="shared" si="36"/>
        <v>638</v>
      </c>
      <c r="AB31" s="144">
        <f t="shared" si="36"/>
        <v>159</v>
      </c>
      <c r="AC31" s="144">
        <f t="shared" si="36"/>
        <v>2</v>
      </c>
      <c r="AD31" s="144">
        <f t="shared" si="36"/>
        <v>1</v>
      </c>
      <c r="AE31" s="144">
        <f t="shared" si="36"/>
        <v>3</v>
      </c>
      <c r="AF31" s="144">
        <f t="shared" si="36"/>
        <v>0</v>
      </c>
      <c r="AG31" s="144">
        <f t="shared" si="36"/>
        <v>204</v>
      </c>
      <c r="AH31" s="144">
        <f t="shared" si="36"/>
        <v>603</v>
      </c>
      <c r="AI31" s="144">
        <f t="shared" si="36"/>
        <v>612</v>
      </c>
      <c r="AJ31" s="144">
        <f t="shared" si="36"/>
        <v>154</v>
      </c>
      <c r="AK31" s="144">
        <f t="shared" si="36"/>
        <v>2</v>
      </c>
      <c r="AL31" s="144">
        <f t="shared" si="36"/>
        <v>12</v>
      </c>
      <c r="AM31" s="144">
        <f t="shared" si="36"/>
        <v>12</v>
      </c>
      <c r="AN31" s="224">
        <f t="shared" si="36"/>
        <v>2</v>
      </c>
      <c r="AO31" s="225">
        <v>6</v>
      </c>
      <c r="AP31" s="225">
        <v>5</v>
      </c>
      <c r="AQ31" s="225">
        <v>5</v>
      </c>
      <c r="AR31" s="225">
        <v>5</v>
      </c>
      <c r="AS31" s="166">
        <f t="shared" si="36"/>
        <v>0</v>
      </c>
      <c r="AT31" s="166">
        <f t="shared" si="36"/>
        <v>0</v>
      </c>
      <c r="AU31" s="225"/>
      <c r="AV31" s="226"/>
      <c r="AW31" s="225"/>
      <c r="AX31" s="226"/>
      <c r="AY31" s="143">
        <f>SUBTOTAL(9,AY9:AY30)</f>
        <v>3765</v>
      </c>
      <c r="AZ31" s="144">
        <f>SUBTOTAL(9,AZ9:AZ30)</f>
        <v>7757</v>
      </c>
      <c r="BA31" s="144">
        <f>SUBTOTAL(9,BA9:BA30)</f>
        <v>7702</v>
      </c>
      <c r="BB31" s="144">
        <f>SUBTOTAL(9,BB9:BB30)</f>
        <v>3941</v>
      </c>
      <c r="BC31" s="145">
        <f>SUBTOTAL(9,BC9:BC30)</f>
        <v>2398</v>
      </c>
      <c r="BD31" s="227">
        <f>IF(ISNUMBER(BA31/AZ31),BA31/AZ31," - ")</f>
        <v>0.99290963001160237</v>
      </c>
      <c r="BE31" s="224">
        <f>IF(ISNUMBER(BB31/BA31),BB31/BA31, " - ")</f>
        <v>0.51168527655154505</v>
      </c>
      <c r="BF31" s="224">
        <f>IF(ISNUMBER(BC31/BA31),BC31/BA31, " - ")</f>
        <v>0.31134770189561151</v>
      </c>
      <c r="BG31" s="145">
        <f>IF(ISNUMBER((AY31+AZ31)/BA31),(AY31+AZ31)/BA31," - ")</f>
        <v>1.4959750714100233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P7PbBjC3dVk4g8XqJY7Z4pLabYewi6KBjQdzDlEoD6aq8PKbsO5KTXYpGoaX+QWFU1KUAfuZhXGA6XCQv5glw==" saltValue="yBsJkquTIhyhh1At9ldBP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WlcpEdZX2DRkhPEtNyDiBsShTQjsRwVLZjl7sXGZEY96CWTRb08CZgLVK7uL/pbVowFuUTU7a7bK4EPFS9n/g==" saltValue="7ij7JzXY1AhZzgklVuJU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SAN LORENZO DE EL ESCORIAL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59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10</v>
      </c>
      <c r="AD10" s="549"/>
      <c r="AE10" s="563"/>
      <c r="AF10" s="551">
        <f>IF(ISNUMBER(Datos!L10),Datos!L10,"-")</f>
        <v>22</v>
      </c>
      <c r="AG10" s="549"/>
      <c r="AH10" s="549"/>
      <c r="AI10" s="549"/>
      <c r="AJ10" s="549"/>
      <c r="AK10" s="549"/>
      <c r="AL10" s="550"/>
      <c r="AM10" s="766">
        <f>IF(ISNUMBER(Datos!R10),Datos!R10," - ")</f>
        <v>88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22</v>
      </c>
      <c r="BE10" s="693" t="str">
        <f>IF(ISNUMBER(Datos!BW10),Datos!BW10," - ")</f>
        <v xml:space="preserve"> - </v>
      </c>
      <c r="BF10" s="762" t="str">
        <f>IF(ISNUMBER(Datos!BX10),Datos!BX10," - ")</f>
        <v xml:space="preserve"> - </v>
      </c>
      <c r="BG10" s="763">
        <f>IF(ISNUMBER(Datos!K10/Datos!J10),Datos!K10/Datos!J10," - ")</f>
        <v>0.79069767441860461</v>
      </c>
      <c r="BH10" s="764">
        <f>IF(ISNUMBER(((Datos!L10/Datos!K10)*11)/factor_trimestre),((Datos!L10/Datos!K10)*11)/factor_trimestre," - ")</f>
        <v>7.1176470588235299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2.3255813953488372E-2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627</v>
      </c>
      <c r="O12" s="549"/>
      <c r="P12" s="549"/>
      <c r="Q12" s="547">
        <f>IF(ISNUMBER(Datos!P12),Datos!P12,0)</f>
        <v>802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159</v>
      </c>
      <c r="AI12" s="549" t="str">
        <f>IF(ISNUMBER(Datos!CD12),Datos!CD12,"-")</f>
        <v>-</v>
      </c>
      <c r="AJ12" s="549" t="str">
        <f>IF(ISNUMBER(Datos!EN12),Datos!EN12," - ")</f>
        <v xml:space="preserve"> - </v>
      </c>
      <c r="AK12" s="549"/>
      <c r="AL12" s="550"/>
      <c r="AM12" s="766">
        <f>IF(ISNUMBER(Datos!R12),Datos!R12," - ")</f>
        <v>3430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743</v>
      </c>
      <c r="BD12" s="693">
        <f>IF(ISNUMBER(Datos!N12),Datos!N12," - ")</f>
        <v>2507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0.99582325785887005</v>
      </c>
      <c r="BH12" s="764">
        <f>IF(ISNUMBER(((IF(J_V="SI",Datos!L12/Datos!K12,(Datos!L12+Datos!AB12)/(Datos!K12+Datos!AA12)))*11)/factor_trimestre),((IF(J_V="SI",Datos!L12/Datos!K12,(Datos!L12+Datos!AB12)/(Datos!K12+Datos!AA12)))*11)/factor_trimestre," - ")</f>
        <v>7.0370860927152314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-7.6467420570813141E-2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13</v>
      </c>
      <c r="G14" s="1197">
        <f t="shared" si="1"/>
        <v>59</v>
      </c>
      <c r="H14" s="1198">
        <f t="shared" si="1"/>
        <v>0</v>
      </c>
      <c r="I14" s="1197">
        <f t="shared" si="1"/>
        <v>0</v>
      </c>
      <c r="J14" s="1164">
        <f t="shared" si="1"/>
        <v>0</v>
      </c>
      <c r="K14" s="1164">
        <f t="shared" si="1"/>
        <v>0</v>
      </c>
      <c r="L14" s="1198">
        <f t="shared" si="1"/>
        <v>0</v>
      </c>
      <c r="M14" s="1198">
        <f t="shared" si="1"/>
        <v>0</v>
      </c>
      <c r="N14" s="1198">
        <f t="shared" si="1"/>
        <v>627</v>
      </c>
      <c r="O14" s="1199">
        <f t="shared" si="1"/>
        <v>0</v>
      </c>
      <c r="P14" s="1199">
        <f t="shared" si="1"/>
        <v>0</v>
      </c>
      <c r="Q14" s="1198">
        <f t="shared" si="1"/>
        <v>814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1096</v>
      </c>
      <c r="AD14" s="1198">
        <f t="shared" si="2"/>
        <v>0</v>
      </c>
      <c r="AE14" s="1198">
        <f t="shared" si="2"/>
        <v>0</v>
      </c>
      <c r="AF14" s="1198">
        <f t="shared" si="2"/>
        <v>22</v>
      </c>
      <c r="AG14" s="1198">
        <f t="shared" si="2"/>
        <v>0</v>
      </c>
      <c r="AH14" s="1198">
        <f t="shared" si="2"/>
        <v>159</v>
      </c>
      <c r="AI14" s="1198">
        <f t="shared" si="2"/>
        <v>0</v>
      </c>
      <c r="AJ14" s="1198">
        <f t="shared" si="2"/>
        <v>0</v>
      </c>
      <c r="AK14" s="1198">
        <f t="shared" si="2"/>
        <v>0</v>
      </c>
      <c r="AL14" s="1198">
        <f t="shared" si="2"/>
        <v>0</v>
      </c>
      <c r="AM14" s="1198">
        <f t="shared" si="2"/>
        <v>3518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749</v>
      </c>
      <c r="BD14" s="1198">
        <f t="shared" si="2"/>
        <v>2529</v>
      </c>
      <c r="BE14" s="1198">
        <f t="shared" si="2"/>
        <v>0</v>
      </c>
      <c r="BF14" s="1198">
        <f t="shared" si="2"/>
        <v>0</v>
      </c>
      <c r="BG14" s="1198">
        <f>IF(ISNUMBER(Datos!K14/Datos!J14),Datos!K14/Datos!J14," - ")</f>
        <v>0.99016393442622952</v>
      </c>
      <c r="BH14" s="1202">
        <f>IF(ISNUMBER(((Datos!L14/Datos!K14)*11)/factor_trimestre),((Datos!L14/Datos!K14)*11)/factor_trimestre," - ")</f>
        <v>7.7358634742740708</v>
      </c>
      <c r="BI14" s="1198">
        <f>IF(ISNUMBER('Resol  Asuntos'!D14/NºAsuntos!G14),'Resol  Asuntos'!D14/NºAsuntos!G14," - ")</f>
        <v>0.16411042944785276</v>
      </c>
      <c r="BJ14" s="1198" t="str">
        <f>IF(ISNUMBER(Datos!CI14/Datos!CJ14),Datos!CI14/Datos!CJ14," - ")</f>
        <v xml:space="preserve"> - </v>
      </c>
      <c r="BK14" s="1198">
        <f>SUBTOTAL(9,BK8:BK13)</f>
        <v>0</v>
      </c>
      <c r="BL14" s="1198">
        <f>IF(ISNUMBER((I14-AB14+L14)/(F14)),(I14-AB14+L14)/(F14)," - ")</f>
        <v>-2.6153846153846154</v>
      </c>
      <c r="BM14" s="1203">
        <f>SUBTOTAL(9,BM9:BM13)</f>
        <v>-5.3211606617324769E-2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938</v>
      </c>
      <c r="G17" s="743">
        <f>IF(ISNUMBER(IF(D_I="SI",Datos!I17,Datos!I17+Datos!AC17)),IF(D_I="SI",Datos!I17,Datos!I17+Datos!AC17)," - ")</f>
        <v>785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4124</v>
      </c>
      <c r="AC17" s="240">
        <f>IF(ISNUMBER(Datos!Q17),Datos!Q17," - ")</f>
        <v>64</v>
      </c>
      <c r="AD17" s="374"/>
      <c r="AE17" s="562"/>
      <c r="AF17" s="741">
        <f>IF(ISNUMBER(IF(D_I="SI",Datos!L17,Datos!L17+Datos!AF17)),IF(D_I="SI",Datos!L17,Datos!L17+Datos!AF17)," - ")</f>
        <v>732</v>
      </c>
      <c r="AG17" s="374"/>
      <c r="AH17" s="374"/>
      <c r="AI17" s="374"/>
      <c r="AJ17" s="549"/>
      <c r="AK17" s="374"/>
      <c r="AL17" s="545"/>
      <c r="AM17" s="375">
        <f>IF(ISNUMBER(Datos!R17),Datos!R17," - ")</f>
        <v>94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348</v>
      </c>
      <c r="BD17" s="243">
        <f>IF(ISNUMBER(Datos!N17),Datos!N17," - ")</f>
        <v>2742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1.0525778458397141</v>
      </c>
      <c r="BH17" s="764">
        <f>IF(ISNUMBER(((IF(D_I="SI",Datos!L17/Datos!K17,(Datos!L17+Datos!AF17)/(Datos!K17+Datos!AE17)))*11)/factor_trimestre),((IF(D_I="SI",Datos!L17/Datos!K17,(Datos!L17+Datos!AF17)/(Datos!K17+Datos!AE17)))*11)/factor_trimestre," - ")</f>
        <v>1.9524733268671195</v>
      </c>
      <c r="BI17" s="266">
        <f>IF(ISNUMBER('Resol  Asuntos'!D17/NºAsuntos!G17),'Resol  Asuntos'!D17/NºAsuntos!G17," - ")</f>
        <v>8.438409311348205E-2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410</v>
      </c>
      <c r="AC18" s="547">
        <f>IF(ISNUMBER(Datos!Q18),Datos!Q18," - ")</f>
        <v>3</v>
      </c>
      <c r="AD18" s="549"/>
      <c r="AE18" s="562"/>
      <c r="AF18" s="551">
        <f>IF(ISNUMBER(Datos!L18),Datos!L18,"-")</f>
        <v>117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251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0.91111111111111109</v>
      </c>
      <c r="BH18" s="764">
        <f>IF(ISNUMBER(((IF(D_I="SI",Datos!L18/Datos!K18,(Datos!L18+Datos!AF18)/(Datos!K18+Datos!AE18)))*11)/factor_trimestre),((IF(D_I="SI",Datos!L18/Datos!K18,(Datos!L18+Datos!AF18)/(Datos!K18+Datos!AE18)))*11)/factor_trimestre," - ")</f>
        <v>3.1390243902439021</v>
      </c>
      <c r="BI18" s="763">
        <f>IF(ISNUMBER('Resol  Asuntos'!D18/NºAsuntos!G18),'Resol  Asuntos'!D18/NºAsuntos!G18," - ")</f>
        <v>8.0487804878048783E-2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938</v>
      </c>
      <c r="G23" s="1197">
        <f>SUBTOTAL(9,G16:G22)</f>
        <v>857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4534</v>
      </c>
      <c r="AC23" s="1198">
        <f t="shared" si="5"/>
        <v>67</v>
      </c>
      <c r="AD23" s="1198">
        <f t="shared" si="5"/>
        <v>0</v>
      </c>
      <c r="AE23" s="1198">
        <f t="shared" si="5"/>
        <v>0</v>
      </c>
      <c r="AF23" s="1198">
        <f t="shared" si="5"/>
        <v>849</v>
      </c>
      <c r="AG23" s="1198">
        <f t="shared" si="5"/>
        <v>0</v>
      </c>
      <c r="AH23" s="1198">
        <f t="shared" si="5"/>
        <v>0</v>
      </c>
      <c r="AI23" s="1198">
        <f t="shared" si="5"/>
        <v>0</v>
      </c>
      <c r="AJ23" s="1198">
        <f t="shared" si="5"/>
        <v>0</v>
      </c>
      <c r="AK23" s="1198">
        <f t="shared" si="5"/>
        <v>0</v>
      </c>
      <c r="AL23" s="1198">
        <f t="shared" si="5"/>
        <v>0</v>
      </c>
      <c r="AM23" s="1198">
        <f t="shared" si="5"/>
        <v>96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381</v>
      </c>
      <c r="BD23" s="1198">
        <f t="shared" si="5"/>
        <v>2993</v>
      </c>
      <c r="BE23" s="1198">
        <f t="shared" si="5"/>
        <v>0</v>
      </c>
      <c r="BF23" s="1198">
        <f t="shared" si="5"/>
        <v>0</v>
      </c>
      <c r="BG23" s="1198">
        <f>IF(ISNUMBER(Datos!K23/Datos!J23),Datos!K23/Datos!J23," - ")</f>
        <v>1.0380036630036631</v>
      </c>
      <c r="BH23" s="1202">
        <f>IF(ISNUMBER(((Datos!L23/Datos!K23)*11)/factor_trimestre),((Datos!L23/Datos!K23)*11)/factor_trimestre," - ")</f>
        <v>2.0597706219673575</v>
      </c>
      <c r="BI23" s="1198">
        <f>SUBTOTAL(9,BI16:BI22)</f>
        <v>0.16487189799153085</v>
      </c>
      <c r="BJ23" s="1198">
        <f>SUBTOTAL(9,BJ16:BJ22)</f>
        <v>0</v>
      </c>
      <c r="BK23" s="1198">
        <f>SUBTOTAL(9,BK16:BK22)</f>
        <v>0</v>
      </c>
      <c r="BL23" s="1198">
        <f>IF(ISNUMBER((I23-AB23+L23)/(F23)),(I23-AB23+L23)/(F23)," - ")</f>
        <v>-4.8336886993603407</v>
      </c>
      <c r="BM23" s="1205">
        <f>IF(ISNUMBER((Datos!P23-Datos!Q23)/(Datos!R23-Datos!P23+Datos!Q23)),(Datos!P23-Datos!Q23)/(Datos!R23-Datos!P23+Datos!Q23)," - ")</f>
        <v>0.18518518518518517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951</v>
      </c>
      <c r="G31" s="1117">
        <f t="shared" si="18"/>
        <v>916</v>
      </c>
      <c r="H31" s="1119">
        <f t="shared" si="18"/>
        <v>0</v>
      </c>
      <c r="I31" s="1117">
        <f t="shared" si="18"/>
        <v>0</v>
      </c>
      <c r="J31" s="1119">
        <f t="shared" si="18"/>
        <v>0</v>
      </c>
      <c r="K31" s="1119">
        <f t="shared" si="18"/>
        <v>0</v>
      </c>
      <c r="L31" s="1180">
        <f t="shared" si="18"/>
        <v>0</v>
      </c>
      <c r="M31" s="1180">
        <f t="shared" si="18"/>
        <v>0</v>
      </c>
      <c r="N31" s="1180">
        <f t="shared" si="18"/>
        <v>627</v>
      </c>
      <c r="O31" s="1180">
        <f t="shared" si="18"/>
        <v>0</v>
      </c>
      <c r="P31" s="1180">
        <f t="shared" si="18"/>
        <v>0</v>
      </c>
      <c r="Q31" s="1119">
        <f t="shared" si="18"/>
        <v>896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4568</v>
      </c>
      <c r="AC31" s="1118">
        <f t="shared" si="19"/>
        <v>1163</v>
      </c>
      <c r="AD31" s="1118">
        <f t="shared" si="19"/>
        <v>0</v>
      </c>
      <c r="AE31" s="1118">
        <f t="shared" si="19"/>
        <v>0</v>
      </c>
      <c r="AF31" s="1125">
        <f t="shared" si="19"/>
        <v>871</v>
      </c>
      <c r="AG31" s="1125">
        <f t="shared" si="19"/>
        <v>0</v>
      </c>
      <c r="AH31" s="1125">
        <f t="shared" si="19"/>
        <v>159</v>
      </c>
      <c r="AI31" s="1125">
        <f t="shared" si="19"/>
        <v>0</v>
      </c>
      <c r="AJ31" s="1118">
        <f t="shared" si="19"/>
        <v>0</v>
      </c>
      <c r="AK31" s="1125">
        <f t="shared" si="19"/>
        <v>0</v>
      </c>
      <c r="AL31" s="1125">
        <f t="shared" si="19"/>
        <v>0</v>
      </c>
      <c r="AM31" s="1125">
        <f t="shared" si="19"/>
        <v>3614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1130</v>
      </c>
      <c r="BD31" s="1117">
        <f t="shared" si="19"/>
        <v>5522</v>
      </c>
      <c r="BE31" s="1117">
        <f t="shared" si="19"/>
        <v>0</v>
      </c>
      <c r="BF31" s="1127">
        <f t="shared" si="19"/>
        <v>0</v>
      </c>
      <c r="BG31" s="1223">
        <f>IF(ISNUMBER(Datos!K31/Datos!J31),Datos!K31/Datos!J31," - ")</f>
        <v>1.0152406096243849</v>
      </c>
      <c r="BH31" s="1223">
        <f>IF(ISNUMBER(((Datos!L31/Datos!K31)*11)/factor_trimestre),((Datos!L31/Datos!K31)*11)/factor_trimestre," - ")</f>
        <v>4.6938534278959807</v>
      </c>
      <c r="BI31" s="1103">
        <f>IF(ISNUMBER(Datos!J31/Datos!I31),Datos!J31/Datos!I31," - ")</f>
        <v>2.2004224980195404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-4.8033648790746586</v>
      </c>
      <c r="BM31" s="1188">
        <f>IF(ISNUMBER((Datos!P31-Datos!Q31+R31)/(Datos!R31-Datos!P31+Datos!Q31-R31)),(Datos!P31-Datos!Q31+R31)/(Datos!R31-Datos!P31+Datos!Q31-R31)," - ")</f>
        <v>-6.8796701880958516E-2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481.05966365930118</v>
      </c>
      <c r="G33" s="674">
        <f>IF(ISNUMBER(STDEV(G8:G30)),STDEV(G8:G30),"-")</f>
        <v>383.70114858906982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2074.0925267508701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325.57421800347066</v>
      </c>
      <c r="BD33" s="673"/>
      <c r="BE33" s="673">
        <f>IF(ISNUMBER(STDEV(BE8:BE30)),STDEV(BE8:BE30),"-")</f>
        <v>0</v>
      </c>
      <c r="BF33" s="678">
        <f>IF(ISNUMBER(STDEV(BF8:BF30)),STDEV(BF8:BF30),"-")</f>
        <v>0</v>
      </c>
      <c r="BG33" s="1052">
        <f>IF(ISNUMBER(STDEV(BG8:BG30)),STDEV(BG8:BG30),"-")</f>
        <v>9.7821786899188065E-2</v>
      </c>
      <c r="BH33" s="1058">
        <f>IF(ISNUMBER(STDEV(BH8:BH30)),STDEV(BH8:BH30),"-")</f>
        <v>2.7335578213323819</v>
      </c>
      <c r="BI33" s="273">
        <f>IF(ISNUMBER(STDEV(BI8:BI30)),STDEV(BI8:BI30),"-")</f>
        <v>4.7402316088168632E-2</v>
      </c>
      <c r="BJ33" s="244" t="str">
        <f>IF(ISNUMBER(BL33/BM33),BL33/BM33," - ")</f>
        <v xml:space="preserve"> - </v>
      </c>
      <c r="BK33" s="709"/>
      <c r="BL33" s="681">
        <f>IF(ISNUMBER(STDEV(BL8:BL30)),STDEV(BL8:BL30),"-")</f>
        <v>1.5685778605130496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yTafkvBS8hDsd8M/FJj+MJ9RqgcPtBrRroX0Zb0HjPIxGp8WGNNQ8mk99xKgDod5el+JiQ0cMit0MOVD3Hp4kA==" saltValue="+uETyhLhpcGPHtJFviLO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SAN LORENZO DE EL ESCORIAL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59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10</v>
      </c>
      <c r="AA10" s="551">
        <f>IF(ISNUMBER(Datos!L10),Datos!L10,"-")</f>
        <v>22</v>
      </c>
      <c r="AB10" s="549"/>
      <c r="AC10" s="549"/>
      <c r="AD10" s="563"/>
      <c r="AE10" s="563">
        <f>IF(ISNUMBER(Datos!R10),Datos!R10," - ")</f>
        <v>88</v>
      </c>
      <c r="AF10" s="693" t="str">
        <f>IF(ISNUMBER(Datos!BV10),Datos!BV10," - ")</f>
        <v xml:space="preserve"> - </v>
      </c>
      <c r="AG10" s="552" t="str">
        <f>IF(ISNUMBER(Datos!DV10),Datos!DV10," - ")</f>
        <v xml:space="preserve"> - </v>
      </c>
      <c r="AH10" s="553"/>
      <c r="AI10" s="554"/>
      <c r="AJ10" s="552">
        <f>IF(ISNUMBER(Datos!M10),Datos!M10," - ")</f>
        <v>6</v>
      </c>
      <c r="AK10" s="693">
        <f>IF(ISNUMBER(Datos!N10),Datos!N10," - ")</f>
        <v>22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7.1176470588235299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2.3255813953488372E-2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1086</v>
      </c>
      <c r="AA12" s="551" t="str">
        <f>IF(ISNUMBER(IF(J_V="SI",Datos!L12,Datos!L12+Datos!AB12)-IF(Monitorios="SI",Datos!CD12,0)),
                          IF(J_V="SI",Datos!L12,Datos!L12+Datos!AB12)-IF(Monitorios="SI",Datos!CD12,0),
                          " - ")</f>
        <v xml:space="preserve"> - </v>
      </c>
      <c r="AB12" s="549"/>
      <c r="AC12" s="549"/>
      <c r="AD12" s="563"/>
      <c r="AE12" s="563">
        <f>IF(ISNUMBER(Datos!R12),Datos!R12," - ")</f>
        <v>3430</v>
      </c>
      <c r="AF12" s="693" t="str">
        <f>IF(ISNUMBER(Datos!BV12),Datos!BV12," - ")</f>
        <v xml:space="preserve"> - </v>
      </c>
      <c r="AG12" s="552" t="str">
        <f>IF(ISNUMBER(Datos!DV12),Datos!DV12," - ")</f>
        <v xml:space="preserve"> - </v>
      </c>
      <c r="AH12" s="553"/>
      <c r="AI12" s="554"/>
      <c r="AJ12" s="552">
        <f>IF(ISNUMBER(Datos!M12),Datos!M12," - ")</f>
        <v>743</v>
      </c>
      <c r="AK12" s="693">
        <f>IF(ISNUMBER(Datos!N12),Datos!N12," - ")</f>
        <v>2507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7.0370860927152314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-7.6467420570813141E-2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13</v>
      </c>
      <c r="G14" s="1197">
        <f>SUBTOTAL(9,G8:G13)</f>
        <v>59</v>
      </c>
      <c r="H14" s="1211"/>
      <c r="I14" s="1197">
        <f t="shared" ref="I14:N14" si="1">SUBTOTAL(9,I8:I13)</f>
        <v>0</v>
      </c>
      <c r="J14" s="1164">
        <f t="shared" si="1"/>
        <v>0</v>
      </c>
      <c r="K14" s="1211">
        <f t="shared" si="1"/>
        <v>0</v>
      </c>
      <c r="L14" s="1211">
        <f t="shared" si="1"/>
        <v>0</v>
      </c>
      <c r="M14" s="1211">
        <f t="shared" si="1"/>
        <v>0</v>
      </c>
      <c r="N14" s="1211">
        <f t="shared" si="1"/>
        <v>814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1096</v>
      </c>
      <c r="AA14" s="1199">
        <f t="shared" si="3"/>
        <v>22</v>
      </c>
      <c r="AB14" s="1199">
        <f t="shared" si="3"/>
        <v>0</v>
      </c>
      <c r="AC14" s="1199">
        <f t="shared" si="3"/>
        <v>0</v>
      </c>
      <c r="AD14" s="1199">
        <f t="shared" si="3"/>
        <v>0</v>
      </c>
      <c r="AE14" s="1199">
        <f t="shared" si="3"/>
        <v>3518</v>
      </c>
      <c r="AF14" s="1211">
        <f t="shared" si="3"/>
        <v>0</v>
      </c>
      <c r="AG14" s="1211">
        <f t="shared" si="3"/>
        <v>0</v>
      </c>
      <c r="AH14" s="1211">
        <f t="shared" si="3"/>
        <v>0</v>
      </c>
      <c r="AI14" s="1211">
        <f t="shared" si="3"/>
        <v>0</v>
      </c>
      <c r="AJ14" s="1211">
        <f t="shared" si="3"/>
        <v>749</v>
      </c>
      <c r="AK14" s="1211">
        <f t="shared" si="3"/>
        <v>2529</v>
      </c>
      <c r="AL14" s="1211">
        <f t="shared" si="3"/>
        <v>0</v>
      </c>
      <c r="AM14" s="1211">
        <f t="shared" si="3"/>
        <v>0</v>
      </c>
      <c r="AN14" s="1211">
        <f t="shared" si="3"/>
        <v>0</v>
      </c>
      <c r="AO14" s="1203">
        <f>IF(ISNUMBER(((NºAsuntos!I14/NºAsuntos!G14)*11)/factor_trimestre),((NºAsuntos!I14/NºAsuntos!G14)*11)/factor_trimestre," - ")</f>
        <v>7.0376862401402276</v>
      </c>
      <c r="AP14" s="1213" t="str">
        <f>IF(ISNUMBER(Datos!CI14/Datos!CJ14),Datos!CI14/Datos!CJ14," - ")</f>
        <v xml:space="preserve"> - </v>
      </c>
      <c r="AQ14" s="1236">
        <f t="shared" ref="AQ14:AV14" si="4">SUBTOTAL(9,AQ9:AQ13)</f>
        <v>0</v>
      </c>
      <c r="AR14" s="1236">
        <f t="shared" si="4"/>
        <v>-5.3211606617324769E-2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938</v>
      </c>
      <c r="G17" s="552">
        <f>IF(ISNUMBER(IF(D_I="SI",Datos!I17,Datos!I17+Datos!AC17)),IF(D_I="SI",Datos!I17,Datos!I17+Datos!AC17)," - ")</f>
        <v>785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4124</v>
      </c>
      <c r="Z17" s="805">
        <f>IF(ISNUMBER(Datos!Q17),Datos!Q17," - ")</f>
        <v>64</v>
      </c>
      <c r="AA17" s="551">
        <f>IF(ISNUMBER(IF(D_I="SI",Datos!L17,Datos!L17+Datos!AF17)),IF(D_I="SI",Datos!L17,Datos!L17+Datos!AF17)," - ")</f>
        <v>732</v>
      </c>
      <c r="AB17" s="549"/>
      <c r="AC17" s="549"/>
      <c r="AD17" s="563"/>
      <c r="AE17" s="563">
        <f>IF(ISNUMBER(Datos!R17),Datos!R17," - ")</f>
        <v>94</v>
      </c>
      <c r="AF17" s="693" t="str">
        <f>IF(ISNUMBER(Datos!BV17),Datos!BV17," - ")</f>
        <v xml:space="preserve"> - </v>
      </c>
      <c r="AG17" s="552"/>
      <c r="AH17" s="553"/>
      <c r="AI17" s="554"/>
      <c r="AJ17" s="552">
        <f>IF(ISNUMBER(Datos!M17),Datos!M17," - ")</f>
        <v>348</v>
      </c>
      <c r="AK17" s="693">
        <f>IF(ISNUMBER(Datos!N17),Datos!N17," - ")</f>
        <v>2742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1.9524733268671195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410</v>
      </c>
      <c r="Z18" s="805">
        <f>IF(ISNUMBER(Datos!Q18),Datos!Q18," - ")</f>
        <v>3</v>
      </c>
      <c r="AA18" s="551">
        <f>IF(ISNUMBER(Datos!L18),Datos!L18,"-")</f>
        <v>117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33</v>
      </c>
      <c r="AK18" s="693">
        <f>IF(ISNUMBER(Datos!N18),Datos!N18," - ")</f>
        <v>251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3.1390243902439021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938</v>
      </c>
      <c r="G23" s="1197">
        <f>SUBTOTAL(9,G16:G22)</f>
        <v>857</v>
      </c>
      <c r="H23" s="1240">
        <f>SUBTOTAL(9,H16:H22)</f>
        <v>0</v>
      </c>
      <c r="I23" s="1217">
        <f>SUBTOTAL(9,I16:I22)</f>
        <v>0</v>
      </c>
      <c r="J23" s="1164">
        <f>SUBTOTAL(9,J15:J22)</f>
        <v>0</v>
      </c>
      <c r="K23" s="1240">
        <f t="shared" ref="K23:S23" si="5">SUBTOTAL(9,K16:K22)</f>
        <v>0</v>
      </c>
      <c r="L23" s="1240">
        <f t="shared" si="5"/>
        <v>0</v>
      </c>
      <c r="M23" s="1240">
        <f t="shared" si="5"/>
        <v>0</v>
      </c>
      <c r="N23" s="1240">
        <f t="shared" si="5"/>
        <v>82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4534</v>
      </c>
      <c r="Z23" s="1240">
        <f t="shared" si="6"/>
        <v>67</v>
      </c>
      <c r="AA23" s="1240">
        <f t="shared" si="6"/>
        <v>849</v>
      </c>
      <c r="AB23" s="1240">
        <f t="shared" si="6"/>
        <v>0</v>
      </c>
      <c r="AC23" s="1240">
        <f t="shared" si="6"/>
        <v>0</v>
      </c>
      <c r="AD23" s="1240">
        <f t="shared" si="6"/>
        <v>0</v>
      </c>
      <c r="AE23" s="1240">
        <f t="shared" si="6"/>
        <v>96</v>
      </c>
      <c r="AF23" s="1240">
        <f t="shared" si="6"/>
        <v>0</v>
      </c>
      <c r="AG23" s="1240">
        <f t="shared" si="6"/>
        <v>0</v>
      </c>
      <c r="AH23" s="1240">
        <f t="shared" si="6"/>
        <v>0</v>
      </c>
      <c r="AI23" s="1240">
        <f t="shared" si="6"/>
        <v>0</v>
      </c>
      <c r="AJ23" s="1240">
        <f t="shared" si="6"/>
        <v>381</v>
      </c>
      <c r="AK23" s="1240">
        <f t="shared" si="6"/>
        <v>2993</v>
      </c>
      <c r="AL23" s="1240">
        <f t="shared" si="6"/>
        <v>0</v>
      </c>
      <c r="AM23" s="1240">
        <f t="shared" si="6"/>
        <v>0</v>
      </c>
      <c r="AN23" s="1240">
        <f t="shared" si="6"/>
        <v>0</v>
      </c>
      <c r="AO23" s="1242">
        <f>IF(ISNUMBER(((NºAsuntos!I23/NºAsuntos!G23)*11)/factor_trimestre),((NºAsuntos!I23/NºAsuntos!G23)*11)/factor_trimestre," - ")</f>
        <v>2.0597706219673575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951</v>
      </c>
      <c r="G31" s="1117">
        <f t="shared" si="12"/>
        <v>916</v>
      </c>
      <c r="H31" s="1118">
        <f t="shared" si="12"/>
        <v>0</v>
      </c>
      <c r="I31" s="1117">
        <f t="shared" si="12"/>
        <v>0</v>
      </c>
      <c r="J31" s="1119">
        <f t="shared" si="12"/>
        <v>0</v>
      </c>
      <c r="K31" s="1117">
        <f t="shared" si="12"/>
        <v>0</v>
      </c>
      <c r="L31" s="1120">
        <f t="shared" si="12"/>
        <v>0</v>
      </c>
      <c r="M31" s="1117">
        <f t="shared" si="12"/>
        <v>0</v>
      </c>
      <c r="N31" s="1118">
        <f t="shared" si="12"/>
        <v>896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4568</v>
      </c>
      <c r="Z31" s="1124">
        <f t="shared" si="13"/>
        <v>1163</v>
      </c>
      <c r="AA31" s="1125">
        <f t="shared" si="13"/>
        <v>871</v>
      </c>
      <c r="AB31" s="1125">
        <f t="shared" si="13"/>
        <v>0</v>
      </c>
      <c r="AC31" s="1125">
        <f t="shared" si="13"/>
        <v>0</v>
      </c>
      <c r="AD31" s="1126">
        <f t="shared" si="13"/>
        <v>0</v>
      </c>
      <c r="AE31" s="1126">
        <f t="shared" si="13"/>
        <v>3614</v>
      </c>
      <c r="AF31" s="1127">
        <f t="shared" si="13"/>
        <v>0</v>
      </c>
      <c r="AG31" s="1128">
        <f t="shared" si="13"/>
        <v>0</v>
      </c>
      <c r="AH31" s="1129">
        <f t="shared" si="13"/>
        <v>0</v>
      </c>
      <c r="AI31" s="1127">
        <f t="shared" si="13"/>
        <v>0</v>
      </c>
      <c r="AJ31" s="1117">
        <f t="shared" si="13"/>
        <v>1130</v>
      </c>
      <c r="AK31" s="1117">
        <f t="shared" si="13"/>
        <v>5522</v>
      </c>
      <c r="AL31" s="1117">
        <f t="shared" si="13"/>
        <v>0</v>
      </c>
      <c r="AM31" s="1130">
        <f t="shared" si="13"/>
        <v>0</v>
      </c>
      <c r="AN31" s="1120">
        <f>IF(ISNUMBER(Datos!K31/Datos!J31),Datos!K31/Datos!J31," - ")</f>
        <v>1.0152406096243849</v>
      </c>
      <c r="AO31" s="1120">
        <f>IF(ISNUMBER(FIND("06",Criterios!A8,1)),(IF(ISNUMBER(((Datos!R31/Datos!Q31)*11)/factor_trimestre),((Datos!R31/Datos!Q31)*11)/factor_trimestre," - ")),(IF(ISNUMBER(((Datos!L31/Datos!K31)*11)/factor_trimestre),((Datos!L31/Datos!K31)*11)/factor_trimestre," - ")))</f>
        <v>4.6938534278959807</v>
      </c>
      <c r="AP31" s="1131" t="str">
        <f>IF(ISNUMBER(Datos!CI31/Datos!CJ31),Datos!CI31/Datos!CJ31," - ")</f>
        <v xml:space="preserve"> - </v>
      </c>
      <c r="AQ31" s="1131">
        <f>IF(OR(ISNUMBER(FIND("01",Criterios!A8,1)),ISNUMBER(FIND("02",Criterios!A8,1)),ISNUMBER(FIND("03",Criterios!A8,1)),ISNUMBER(FIND("04",Criterios!A8,1))),(J31-Y31+K31)/(F31-K31),(I31-Y31+K31)/(F31-K31))</f>
        <v>-4.8033648790746586</v>
      </c>
      <c r="AR31" s="1131">
        <f>IF(ISNUMBER((Datos!P31-Datos!Q31+O31)/(Datos!R31-Datos!P31+Datos!Q31-O31)),(Datos!P31-Datos!Q31+O31)/(Datos!R31-Datos!P31+Datos!Q31-O31)," - ")</f>
        <v>-6.8796701880958516E-2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481.05966365930118</v>
      </c>
      <c r="G33" s="674">
        <f>IF(ISNUMBER(STDEV(G8:G30)),STDEV(G8:G30),"-")</f>
        <v>383.70114858906982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325.57421800347066</v>
      </c>
      <c r="AK33" s="276"/>
      <c r="AL33" s="276">
        <f>IF(ISNUMBER(STDEV(AL8:AL30)),STDEV(AL8:AL30),"-")</f>
        <v>0</v>
      </c>
      <c r="AM33" s="278">
        <f>IF(ISNUMBER(STDEV(AM8:AM30)),STDEV(AM8:AM30),"-")</f>
        <v>0</v>
      </c>
      <c r="AN33" s="660">
        <f>IF(ISNUMBER(STDEV(AN8:AN30)),STDEV(AN8:AN30),"-")</f>
        <v>0</v>
      </c>
      <c r="AO33" s="661">
        <f>IF(ISNUMBER(STDEV(AO8:AO30)),STDEV(AO8:AO30),"-")</f>
        <v>2.5971015951737528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JiidZ6ulYJ5DhW2N6/tRqaLaM1M8xzfpvY0g3zC3DHFVTTcuj8YHhhlp6eTpgtrqidJMG5TOzxOlWpQogGQ2Cw==" saltValue="4lfZDaMjq9wgy7Odtrst0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GQaeVElty69eT2aVB9IAqfWLWSds340DSgbGk8FINxQCDqpL6kp5omh+xBzk+wDM0mGHXjSBN2kleyknliiAg==" saltValue="BMkWQgFDJDHOH4csuI3D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Kw/AtzuvQ02y6OExwFyM0+GHvRRhYnt4HMy/L6xTh9E+tCOIbuGFbwKbWy9NGRKrAjydBCAQXiI5dCGAYCHhQ==" saltValue="je9Awt1L3wfhbNVaO4Wx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SAN LORENZO DE EL ESCORIAL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0.16411042944785276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0.11604359752601316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FVIyg0A0qCyveMTxM3wd/uTzY9C2OzjfIB0gyHR2/QZop53TMqpCCOY4pWQmujCZpkXJ+oYWbKvO2NyQUokMZA==" saltValue="M8SJhlFsFHaJ33Wj6Ptg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qbaLC7fH/iGAbdpg/a79hHSTMNPdMMzGJoVD9ZKdhC1WeqH/2On6O24uKd6GygXdqufXUm81KKcyFk3o1UzgrQ==" saltValue="Hozapk8oUcvwuYBDzeIa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SAN LORENZO DE EL ESCORIAL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59</v>
      </c>
      <c r="D10" s="452">
        <f>IF(ISNUMBER(C10/Datos!BH10),C10/Datos!BH10," - ")</f>
        <v>59</v>
      </c>
      <c r="E10" s="451">
        <f>IF(ISNUMBER(Datos!J10),Datos!J10," - ")</f>
        <v>43</v>
      </c>
      <c r="F10" s="452">
        <f>IF(ISNUMBER(E10/B10),E10/B10," - ")</f>
        <v>43</v>
      </c>
      <c r="G10" s="451">
        <f>IF(ISNUMBER(Datos!K10),Datos!K10," - ")</f>
        <v>34</v>
      </c>
      <c r="H10" s="452">
        <f>IF(ISNUMBER(G10/B10),G10/B10," - ")</f>
        <v>34</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3025</v>
      </c>
      <c r="D12" s="452">
        <f>IF(ISNUMBER(C12/Datos!BH12),C12/Datos!BH12," - ")</f>
        <v>756.25</v>
      </c>
      <c r="E12" s="451">
        <f>IF(ISNUMBER(IF(J_V="SI",Datos!J12,Datos!J12+Datos!Z12)),IF(J_V="SI",Datos!J12,Datos!J12+Datos!Z12)," - ")</f>
        <v>4549</v>
      </c>
      <c r="F12" s="452">
        <f>IF(ISNUMBER(E12/B12),E12/B12," - ")</f>
        <v>909.8</v>
      </c>
      <c r="G12" s="451">
        <f>IF(ISNUMBER(IF(J_V="SI",Datos!K12,Datos!K12+Datos!AA12)),IF(J_V="SI",Datos!K12,Datos!K12+Datos!AA12)," - ")</f>
        <v>4530</v>
      </c>
      <c r="H12" s="452">
        <f>IF(ISNUMBER(G12/B12),G12/B12," - ")</f>
        <v>906</v>
      </c>
      <c r="I12" s="451">
        <f>IF(ISNUMBER(IF(J_V="SI",Datos!L12,Datos!L12+Datos!AB12)),IF(J_V="SI",Datos!L12,Datos!L12+Datos!AB12)," - ")</f>
        <v>2898</v>
      </c>
      <c r="J12" s="452">
        <f>IF(ISNUMBER(I12/B12),I12/B12," - ")</f>
        <v>579.6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3084</v>
      </c>
      <c r="D14" s="1147" t="str">
        <f>IF(ISNUMBER(C14/Datos!BI14),C14/Datos!BI14," - ")</f>
        <v xml:space="preserve"> - </v>
      </c>
      <c r="E14" s="1146">
        <f>SUBTOTAL(9,E8:E13)</f>
        <v>4592</v>
      </c>
      <c r="F14" s="1147">
        <f>IF(ISNUMBER(E14/B14),E14/B14," - ")</f>
        <v>918.4</v>
      </c>
      <c r="G14" s="1146">
        <f>SUBTOTAL(9,G8:G13)</f>
        <v>4564</v>
      </c>
      <c r="H14" s="1147">
        <f>IF(ISNUMBER(G14/B14),G14/B14," - ")</f>
        <v>912.8</v>
      </c>
      <c r="I14" s="1146">
        <f>SUBTOTAL(9,I8:I13)</f>
        <v>2920</v>
      </c>
      <c r="J14" s="1147">
        <f>IF(ISNUMBER(I14/B14),I14/B14," - ")</f>
        <v>584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785</v>
      </c>
      <c r="D17" s="452">
        <f>IF(ISNUMBER(C17/Datos!BH17),C17/Datos!BH17," - ")</f>
        <v>196.25</v>
      </c>
      <c r="E17" s="451">
        <f>IF(ISNUMBER(IF(D_I="SI",Datos!J17,Datos!J17+Datos!AD17)),IF(D_I="SI",Datos!J17,Datos!J17+Datos!AD17)," - ")</f>
        <v>3918</v>
      </c>
      <c r="F17" s="452">
        <f>IF(ISNUMBER(E17/B17),E17/B17," - ")</f>
        <v>783.6</v>
      </c>
      <c r="G17" s="451">
        <f>IF(ISNUMBER(IF(D_I="SI",Datos!K17,Datos!K17+Datos!AE17)),IF(D_I="SI",Datos!K17,Datos!K17+Datos!AE17)," - ")</f>
        <v>4124</v>
      </c>
      <c r="H17" s="452">
        <f>IF(ISNUMBER(G17/B17),G17/B17," - ")</f>
        <v>824.8</v>
      </c>
      <c r="I17" s="451">
        <f>IF(ISNUMBER(IF(D_I="SI",Datos!L17,Datos!L17+Datos!AF17)),IF(D_I="SI",Datos!L17,Datos!L17+Datos!AF17)," - ")</f>
        <v>732</v>
      </c>
      <c r="J17" s="452">
        <f>IF(ISNUMBER(I17/B17),I17/B17," - ")</f>
        <v>146.4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72</v>
      </c>
      <c r="D18" s="452">
        <f>IF(ISNUMBER(C18/Datos!BH18),C18/Datos!BH18," - ")</f>
        <v>72</v>
      </c>
      <c r="E18" s="451">
        <f>IF(ISNUMBER(IF(D_I="SI",Datos!J18,Datos!J18+Datos!AD18)),IF(D_I="SI",Datos!J18,Datos!J18+Datos!AD18)," - ")</f>
        <v>450</v>
      </c>
      <c r="F18" s="452">
        <f>IF(ISNUMBER(E18/B18),E18/B18," - ")</f>
        <v>450</v>
      </c>
      <c r="G18" s="451">
        <f>IF(ISNUMBER(IF(D_I="SI",Datos!K18,Datos!K18+Datos!AE18)),IF(D_I="SI",Datos!K18,Datos!K18+Datos!AE18)," - ")</f>
        <v>410</v>
      </c>
      <c r="H18" s="452">
        <f>IF(ISNUMBER(G18/B18),G18/B18," - ")</f>
        <v>410</v>
      </c>
      <c r="I18" s="451">
        <f>IF(ISNUMBER(IF(D_I="SI",Datos!L18,Datos!L18+Datos!AF18)),IF(D_I="SI",Datos!L18,Datos!L18+Datos!AF18)," - ")</f>
        <v>117</v>
      </c>
      <c r="J18" s="452">
        <f>IF(ISNUMBER(I18/B18),I18/B18," - ")</f>
        <v>117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857</v>
      </c>
      <c r="D23" s="1147" t="str">
        <f>IF(ISNUMBER(C23/Datos!BI23),C23/Datos!BI23," - ")</f>
        <v xml:space="preserve"> - </v>
      </c>
      <c r="E23" s="1146">
        <f>SUBTOTAL(9,E15:E22)</f>
        <v>4368</v>
      </c>
      <c r="F23" s="1147">
        <f>IF(ISNUMBER(E23/B23),E23/B23," - ")</f>
        <v>873.6</v>
      </c>
      <c r="G23" s="1146">
        <f>SUBTOTAL(9,G15:G22)</f>
        <v>4534</v>
      </c>
      <c r="H23" s="1147">
        <f>IF(ISNUMBER(G23/B23),G23/B23," - ")</f>
        <v>906.8</v>
      </c>
      <c r="I23" s="1146">
        <f>SUBTOTAL(9,I15:I22)</f>
        <v>849</v>
      </c>
      <c r="J23" s="1147">
        <f>IF(ISNUMBER(I23/B23),I23/B23," - ")</f>
        <v>169.8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3941</v>
      </c>
      <c r="D31" s="1085" t="str">
        <f>IF(ISNUMBER(C31/Datos!BI31),C31/Datos!BI31," - ")</f>
        <v xml:space="preserve"> - </v>
      </c>
      <c r="E31" s="1084">
        <f>SUBTOTAL(9,E9:E30)</f>
        <v>8960</v>
      </c>
      <c r="F31" s="1085">
        <f>IF(ISNUMBER(E31/B31),E31/B31," - ")</f>
        <v>1792</v>
      </c>
      <c r="G31" s="1084">
        <f>SUBTOTAL(9,G9:G30)</f>
        <v>9098</v>
      </c>
      <c r="H31" s="1085">
        <f>IF(ISNUMBER(G31/B31),G31/B31," - ")</f>
        <v>1819.6</v>
      </c>
      <c r="I31" s="1084">
        <f>SUBTOTAL(9,I9:I30)</f>
        <v>3769</v>
      </c>
      <c r="J31" s="1085">
        <f>IF(ISNUMBER(I31/B31),I31/B31," - ")</f>
        <v>753.8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ZLUlwjSIWuen4ekR5iRGHsIVdC+kg/V9T9SneWlB18/7DZgmYF41LDPqj63FfsZKb1/qm+G3I2Wd+zYitfJeIw==" saltValue="UoTzSL2bSfaW57/f1xMZ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SAN LORENZO DE EL ESCORIAL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59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22</v>
      </c>
      <c r="AN10" s="914">
        <f>IF(ISNUMBER(Datos!BW10+DatosP!BW18),Datos!BW10+DatosP!BW18," - ")</f>
        <v>0</v>
      </c>
      <c r="AO10" s="915">
        <f>IF(ISNUMBER(Datos!BX10+DatosP!BX18),Datos!BX10+DatosP!BX18," - ")</f>
        <v>0</v>
      </c>
      <c r="AP10" s="917">
        <f>IF(ISNUMBER(((Datos!L10/Datos!K10)*11)/factor_trimestre),((Datos!L10/Datos!K10)*11)/factor_trimestre," - ")</f>
        <v>7.1176470588235299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743</v>
      </c>
      <c r="AM12" s="914">
        <f>IF(ISNUMBER(Datos!N12+DatosP!N17),Datos!N12+DatosP!N17," - ")</f>
        <v>2507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7.0370860927152314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-7.6467420570813141E-2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13</v>
      </c>
      <c r="G14" s="1256">
        <f t="shared" si="0"/>
        <v>59</v>
      </c>
      <c r="H14" s="1256">
        <f t="shared" si="0"/>
        <v>0</v>
      </c>
      <c r="I14" s="1258">
        <f t="shared" si="0"/>
        <v>0</v>
      </c>
      <c r="J14" s="1257">
        <f t="shared" si="0"/>
        <v>0</v>
      </c>
      <c r="K14" s="1257">
        <f t="shared" si="0"/>
        <v>0</v>
      </c>
      <c r="L14" s="1259">
        <f t="shared" si="0"/>
        <v>0</v>
      </c>
      <c r="M14" s="1259">
        <f t="shared" si="0"/>
        <v>0</v>
      </c>
      <c r="N14" s="1257">
        <f t="shared" si="0"/>
        <v>814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1086</v>
      </c>
      <c r="AE14" s="1257">
        <f t="shared" si="1"/>
        <v>0</v>
      </c>
      <c r="AF14" s="1257">
        <f t="shared" si="1"/>
        <v>22</v>
      </c>
      <c r="AG14" s="1257">
        <f t="shared" si="1"/>
        <v>0</v>
      </c>
      <c r="AH14" s="1257">
        <f t="shared" si="1"/>
        <v>3430</v>
      </c>
      <c r="AI14" s="1257">
        <f t="shared" si="1"/>
        <v>0</v>
      </c>
      <c r="AJ14" s="1257">
        <f t="shared" si="1"/>
        <v>0</v>
      </c>
      <c r="AK14" s="1257">
        <f t="shared" si="1"/>
        <v>0</v>
      </c>
      <c r="AL14" s="1257">
        <f t="shared" si="1"/>
        <v>749</v>
      </c>
      <c r="AM14" s="1257">
        <f t="shared" si="1"/>
        <v>2529</v>
      </c>
      <c r="AN14" s="1257">
        <f t="shared" si="1"/>
        <v>0</v>
      </c>
      <c r="AO14" s="1257">
        <f t="shared" si="1"/>
        <v>0</v>
      </c>
      <c r="AP14" s="1262">
        <f>IF(ISNUMBER(((Datos!L14/Datos!K14)*11)/factor_trimestre),((Datos!L14/Datos!K14)*11)/factor_trimestre," - ")</f>
        <v>7.7358634742740708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-2.6153846153846154</v>
      </c>
      <c r="AU14" s="1257" t="str">
        <f>IF(ISNUMBER((DatosP!#REF!-DatosP!#REF!+DatosP!#REF!)/(DatosP!#REF!+DatosP!#REF!-DatosP!#REF!-DatosP!#REF!)),(DatosP!#REF!-DatosP!#REF!+DatosP!#REF!)/(DatosP!#REF!+DatosP!#REF!-DatosP!#REF!-DatosP!#REF!)," - ")</f>
        <v xml:space="preserve"> - </v>
      </c>
      <c r="AV14" s="1263">
        <f>SUBTOTAL(9,AV9:AV13)</f>
        <v>-7.6467420570813141E-2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2.0597706219673575</v>
      </c>
      <c r="AQ23" s="1262">
        <f>IF(ISNUMBER(((Datos!M23/Datos!L23)*11)/factor_trimestre),((Datos!M23/Datos!L23)*11)/factor_trimestre," - ")</f>
        <v>4.9363957597173149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0.18518518518518517</v>
      </c>
      <c r="AW23" s="1265">
        <f>IF(ISNUMBER((Datos!Q23-Datos!R23)/(Datos!S23-Datos!Q23+Datos!R23)),(Datos!Q23-Datos!R23)/(Datos!S23-Datos!Q23+Datos!R23)," - ")</f>
        <v>-3.1385281385281384E-2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13</v>
      </c>
      <c r="G31" s="1278">
        <f t="shared" si="8"/>
        <v>59</v>
      </c>
      <c r="H31" s="1278">
        <f t="shared" si="8"/>
        <v>0</v>
      </c>
      <c r="I31" s="1279">
        <f t="shared" si="8"/>
        <v>0</v>
      </c>
      <c r="J31" s="1280">
        <f t="shared" si="8"/>
        <v>0</v>
      </c>
      <c r="K31" s="1280">
        <f t="shared" si="8"/>
        <v>0</v>
      </c>
      <c r="L31" s="1280">
        <f t="shared" si="8"/>
        <v>0</v>
      </c>
      <c r="M31" s="1280">
        <f t="shared" si="8"/>
        <v>0</v>
      </c>
      <c r="N31" s="1279">
        <f t="shared" si="8"/>
        <v>814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1086</v>
      </c>
      <c r="AE31" s="1284">
        <f t="shared" si="9"/>
        <v>0</v>
      </c>
      <c r="AF31" s="1285">
        <f t="shared" si="9"/>
        <v>22</v>
      </c>
      <c r="AG31" s="1285">
        <f t="shared" si="9"/>
        <v>0</v>
      </c>
      <c r="AH31" s="1285">
        <f t="shared" si="9"/>
        <v>3430</v>
      </c>
      <c r="AI31" s="1285">
        <f t="shared" si="9"/>
        <v>0</v>
      </c>
      <c r="AJ31" s="1286">
        <f t="shared" si="9"/>
        <v>0</v>
      </c>
      <c r="AK31" s="1286">
        <f t="shared" si="9"/>
        <v>0</v>
      </c>
      <c r="AL31" s="1278">
        <f t="shared" si="9"/>
        <v>749</v>
      </c>
      <c r="AM31" s="1278">
        <f t="shared" si="9"/>
        <v>2529</v>
      </c>
      <c r="AN31" s="1278">
        <f t="shared" si="9"/>
        <v>0</v>
      </c>
      <c r="AO31" s="1278">
        <f t="shared" si="9"/>
        <v>0</v>
      </c>
      <c r="AP31" s="1278">
        <f>IF(ISNUMBER(((Datos!L31/Datos!K31)*11)/factor_trimestre),((Datos!L31/Datos!K31)*11)/factor_trimestre," - ")</f>
        <v>4.6938534278959807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-2.6153846153846154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-6.8796701880958516E-2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7.1203932475671596</v>
      </c>
      <c r="G33" s="1007">
        <f>IF(ISNUMBER(STDEV(G8:G30)),STDEV(G8:G30),"-")</f>
        <v>32.315630892804798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384.46985144048244</v>
      </c>
      <c r="AM33" s="1006"/>
      <c r="AN33" s="1006">
        <f>IF(ISNUMBER(STDEV(AN8:AN30)),STDEV(AN8:AN30),"-")</f>
        <v>0</v>
      </c>
      <c r="AO33" s="1012">
        <f>IF(ISNUMBER(STDEV(AO8:AO30)),STDEV(AO8:AO30),"-")</f>
        <v>0</v>
      </c>
      <c r="AP33" s="1065">
        <f>IF(ISNUMBER(STDEV(AP8:AP30)),STDEV(AP8:AP30),"-")</f>
        <v>2.6370878010984864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SM/UkTbQMEnF1SZPtNFfzq1vSgMuQ7AfI+jS/9CKH4ehasscM6fNyOymmpTox80BwhwZlDQvioOFffPtt30f5g==" saltValue="wSZ1CsWQF42I6XgsY/TH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SAN LORENZO DE EL ESCORIAL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1.25</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1.25</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yZTJ6OjLofWp/nuu+OyMuNbynR3dMppwKeBvUlKr+MZxS9b4GeUgTvbPg/6kOSpBAuIpRccbdtRLgeSeRKYQKw==" saltValue="j64PGxfg3UhLC/rpCtBk2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SAN LORENZO DE EL ESCORIAL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22</v>
      </c>
      <c r="G10" s="452">
        <f>IF(ISNUMBER(F10/B10),F10/B10," - ")</f>
        <v>22</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743</v>
      </c>
      <c r="E12" s="452">
        <f t="shared" si="0"/>
        <v>148.6</v>
      </c>
      <c r="F12" s="451">
        <f>IF(ISNUMBER(Datos!N12),Datos!N12," - ")</f>
        <v>2507</v>
      </c>
      <c r="G12" s="452">
        <f t="shared" si="1"/>
        <v>501.4</v>
      </c>
      <c r="H12" s="451">
        <f>IF(ISNUMBER(Datos!O12),Datos!O12," - ")</f>
        <v>1647</v>
      </c>
      <c r="I12" s="452">
        <f t="shared" si="2"/>
        <v>329.4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749</v>
      </c>
      <c r="E14" s="1147">
        <f t="shared" si="0"/>
        <v>124.83333333333333</v>
      </c>
      <c r="F14" s="1146">
        <f>SUBTOTAL(9,F9:F13)</f>
        <v>2529</v>
      </c>
      <c r="G14" s="1147">
        <f t="shared" si="1"/>
        <v>421.5</v>
      </c>
      <c r="H14" s="1146">
        <f>SUBTOTAL(9,H9:H13)</f>
        <v>1652</v>
      </c>
      <c r="I14" s="1147">
        <f>IF(ISNUMBER(H14/B14),H14/B14," - ")</f>
        <v>275.33333333333331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348</v>
      </c>
      <c r="E17" s="452">
        <f t="shared" si="3"/>
        <v>69.599999999999994</v>
      </c>
      <c r="F17" s="451">
        <f>IF(ISNUMBER(Datos!N17),Datos!N17," - ")</f>
        <v>2742</v>
      </c>
      <c r="G17" s="452">
        <f t="shared" si="4"/>
        <v>548.4</v>
      </c>
      <c r="H17" s="451">
        <f>IF(ISNUMBER(Datos!O17),Datos!O17," - ")</f>
        <v>49</v>
      </c>
      <c r="I17" s="452">
        <f t="shared" si="5"/>
        <v>9.8000000000000007</v>
      </c>
    </row>
    <row r="18" spans="1:9">
      <c r="A18" s="450" t="str">
        <f>Datos!A18</f>
        <v>Jdos. Violencia contra la mujer</v>
      </c>
      <c r="B18" s="480">
        <f>Datos!AO18</f>
        <v>1</v>
      </c>
      <c r="C18" s="481">
        <f>Datos!AQ18</f>
        <v>0</v>
      </c>
      <c r="D18" s="451">
        <f>IF(ISNUMBER(Datos!M18),Datos!M18," - ")</f>
        <v>33</v>
      </c>
      <c r="E18" s="452">
        <f>IF(ISNUMBER(D18/B18),D18/B18," - ")</f>
        <v>33</v>
      </c>
      <c r="F18" s="451">
        <f>IF(ISNUMBER(Datos!N18),Datos!N18," - ")</f>
        <v>251</v>
      </c>
      <c r="G18" s="452">
        <f>IF(ISNUMBER(F18/B18),F18/B18," - ")</f>
        <v>251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381</v>
      </c>
      <c r="E23" s="1147">
        <f t="shared" si="3"/>
        <v>63.5</v>
      </c>
      <c r="F23" s="1146">
        <f>SUBTOTAL(9,F16:F22)</f>
        <v>2993</v>
      </c>
      <c r="G23" s="1147">
        <f t="shared" si="4"/>
        <v>498.83333333333331</v>
      </c>
      <c r="H23" s="1146">
        <f>SUBTOTAL(9,H16:H22)</f>
        <v>49</v>
      </c>
      <c r="I23" s="1147">
        <f>IF(ISNUMBER(H23/B23),H23/B23," - ")</f>
        <v>8.1666666666666661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1130</v>
      </c>
      <c r="E31" s="1085">
        <f>IF(ISNUMBER(D31/B31),D31/B31," - ")</f>
        <v>226</v>
      </c>
      <c r="F31" s="1084">
        <f>SUBTOTAL(9,F8:F30)</f>
        <v>5522</v>
      </c>
      <c r="G31" s="1085">
        <f>IF(ISNUMBER(F31/B31),F31/B31," - ")</f>
        <v>1104.4000000000001</v>
      </c>
      <c r="H31" s="1084">
        <f>SUBTOTAL(9,H8:H30)</f>
        <v>1701</v>
      </c>
      <c r="I31" s="1085">
        <f>IF(ISNUMBER(H31/B31),H31/B31," - ")</f>
        <v>340.2</v>
      </c>
    </row>
    <row r="34" spans="1:1">
      <c r="A34" s="439" t="str">
        <f>Criterios!A4</f>
        <v>Fecha Informe: 15 abr. 2023</v>
      </c>
    </row>
    <row r="39" spans="1:1">
      <c r="A39" s="462"/>
    </row>
  </sheetData>
  <sheetProtection algorithmName="SHA-512" hashValue="PRwe8LlJPZ4Q2Z8V99on4wy/MYD4mmnSWwgZjr/Ky8uLvWx5jr4a/PjpxZh1ZvuNAwOH80MzXBD7EvUSj70dIA==" saltValue="eBLrKT2N2ZdpbRSRpvND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SAN LORENZO DE EL ESCORIAL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12</v>
      </c>
      <c r="C10" s="489">
        <f>IF(ISNUMBER(Datos!Q10),Datos!Q10," - ")</f>
        <v>10</v>
      </c>
      <c r="D10" s="456">
        <f>IF(ISNUMBER(Datos!R10),Datos!R10," - ")</f>
        <v>88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802</v>
      </c>
      <c r="C12" s="489">
        <f>IF(ISNUMBER(Datos!Q12),Datos!Q12," - ")</f>
        <v>1086</v>
      </c>
      <c r="D12" s="456">
        <f>IF(ISNUMBER(Datos!R12),Datos!R12," - ")</f>
        <v>3430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814</v>
      </c>
      <c r="C14" s="1150">
        <f>SUBTOTAL(9,C9:C13)</f>
        <v>1096</v>
      </c>
      <c r="D14" s="1148">
        <f>SUBTOTAL(9,D9:D13)</f>
        <v>3518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79</v>
      </c>
      <c r="C17" s="489">
        <f>IF(ISNUMBER(Datos!Q17),Datos!Q17," - ")</f>
        <v>64</v>
      </c>
      <c r="D17" s="456">
        <f>IF(ISNUMBER(Datos!R17),Datos!R17," - ")</f>
        <v>94</v>
      </c>
    </row>
    <row r="18" spans="1:4">
      <c r="A18" s="450" t="str">
        <f>Datos!A18</f>
        <v>Jdos. Violencia contra la mujer</v>
      </c>
      <c r="B18" s="488">
        <f>IF(ISNUMBER(Datos!P18),Datos!P18," - ")</f>
        <v>3</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82</v>
      </c>
      <c r="C23" s="1150">
        <f>SUBTOTAL(9,C16:C22)</f>
        <v>67</v>
      </c>
      <c r="D23" s="1148">
        <f>SUBTOTAL(9,D16:D22)</f>
        <v>96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896</v>
      </c>
      <c r="C31" s="1089">
        <f>SUBTOTAL(9,C8:C30)</f>
        <v>1163</v>
      </c>
      <c r="D31" s="1090">
        <f>SUBTOTAL(9,D8:D30)</f>
        <v>3614</v>
      </c>
    </row>
    <row r="32" spans="1:4" ht="7.5" customHeight="1"/>
    <row r="33" spans="1:1" ht="6" customHeight="1"/>
    <row r="34" spans="1:1">
      <c r="A34" s="439" t="str">
        <f>Criterios!A4</f>
        <v>Fecha Informe: 15 abr. 2023</v>
      </c>
    </row>
    <row r="39" spans="1:1">
      <c r="A39" s="462"/>
    </row>
  </sheetData>
  <sheetProtection algorithmName="SHA-512" hashValue="aUwmvP35nWb9q+qU5KKn4d7DdLm6tdxvctln700nQEsRIQJ40oEi0hdG1/lXTyAfUJZgKqocJDFlEVi4cV9jQQ==" saltValue="J6v8y8fA8J7f+NvUWq1N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SAN LORENZO DE EL ESCORIAL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-1.6666666666666666E-2</v>
      </c>
      <c r="C10" s="515">
        <f>IF(ISNUMBER((Datos!J10-Datos!T10)/Datos!T10),(Datos!J10-Datos!T10)/Datos!T10," - ")</f>
        <v>0.34375</v>
      </c>
      <c r="D10" s="515">
        <f>IF(ISNUMBER((Datos!K10-Datos!U10)/Datos!U10),(Datos!K10-Datos!U10)/Datos!U10," - ")</f>
        <v>3.0303030303030304E-2</v>
      </c>
      <c r="E10" s="515">
        <f>IF(ISNUMBER((Datos!L10-Datos!V10)/Datos!V10),(Datos!L10-Datos!V10)/Datos!V10," - ")</f>
        <v>-0.6271186440677966</v>
      </c>
      <c r="F10" s="515">
        <f>IF(ISNUMBER((Datos!M10-Datos!W10)/Datos!W10),(Datos!M10-Datos!W10)/Datos!W10," - ")</f>
        <v>-0.14285714285714285</v>
      </c>
      <c r="G10" s="516">
        <f>IF(ISNUMBER((Datos!N10-Datos!X10)/Datos!X10),(Datos!N10-Datos!X10)/Datos!X10," - ")</f>
        <v>2.6666666666666665</v>
      </c>
      <c r="H10" s="514">
        <f>IF(ISNUMBER(((NºAsuntos!G10/NºAsuntos!E10)-Datos!BD10)/Datos!BD10),((NºAsuntos!G10/NºAsuntos!E10)-Datos!BD10)/Datos!BD10," - ")</f>
        <v>-0.23326286116983797</v>
      </c>
      <c r="I10" s="515">
        <f>IF(ISNUMBER(((NºAsuntos!I10/NºAsuntos!G10)-Datos!BE10)/Datos!BE10),((NºAsuntos!I10/NºAsuntos!G10)-Datos!BE10)/Datos!BE10," - ")</f>
        <v>-0.63808574277168484</v>
      </c>
      <c r="J10" s="521">
        <f>IF(ISNUMBER((('Resol  Asuntos'!D10/NºAsuntos!G10)-Datos!BF10)/Datos!BF10),(('Resol  Asuntos'!D10/NºAsuntos!G10)-Datos!BF10)/Datos!BF10," - ")</f>
        <v>-0.16806722689075626</v>
      </c>
      <c r="K10" s="522">
        <f>IF(ISNUMBER((((NºAsuntos!C10+NºAsuntos!E10)/NºAsuntos!G10)-Datos!BG10)/Datos!BG10),(((NºAsuntos!C10+NºAsuntos!E10)/NºAsuntos!G10)-Datos!BG10)/Datos!BG10," - ")</f>
        <v>7.6086956521739052E-2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7.6512455516014238E-2</v>
      </c>
      <c r="C12" s="515">
        <f>IF(ISNUMBER(
   IF(J_V="SI",(Datos!J12-Datos!T12)/Datos!T12,(Datos!J12+Datos!Z12-(Datos!T12+Datos!AH12))/(Datos!T12+Datos!AH12))
     ),IF(J_V="SI",(Datos!J12-Datos!T12)/Datos!T12,(Datos!J12+Datos!Z12-(Datos!T12+Datos!AH12))/(Datos!T12+Datos!AH12))," - ")</f>
        <v>6.2354040168145726E-2</v>
      </c>
      <c r="D12" s="515">
        <f>IF(ISNUMBER(
   IF(J_V="SI",(Datos!K12-Datos!U12)/Datos!U12,(Datos!K12+Datos!AA12-(Datos!U12+Datos!AI12))/(Datos!U12+Datos!AI12))
     ),IF(J_V="SI",(Datos!K12-Datos!U12)/Datos!U12,(Datos!K12+Datos!AA12-(Datos!U12+Datos!AI12))/(Datos!U12+Datos!AI12))," - ")</f>
        <v>0.10947832476120499</v>
      </c>
      <c r="E12" s="515">
        <f>IF(ISNUMBER(
   IF(J_V="SI",(Datos!L12-Datos!V12)/Datos!V12,(Datos!L12+Datos!AB12-(Datos!V12+Datos!AJ12))/(Datos!V12+Datos!AJ12))
     ),IF(J_V="SI",(Datos!L12-Datos!V12)/Datos!V12,(Datos!L12+Datos!AB12-(Datos!V12+Datos!AJ12))/(Datos!V12+Datos!AJ12))," - ")</f>
        <v>-4.1983471074380163E-2</v>
      </c>
      <c r="F12" s="515">
        <f>IF(ISNUMBER((Datos!M12-Datos!W12)/Datos!W12),(Datos!M12-Datos!W12)/Datos!W12," - ")</f>
        <v>-7.1249999999999994E-2</v>
      </c>
      <c r="G12" s="516">
        <f>IF(ISNUMBER((Datos!N12-Datos!X12)/Datos!X12),(Datos!N12-Datos!X12)/Datos!X12," - ")</f>
        <v>0.20935841775205016</v>
      </c>
      <c r="H12" s="514">
        <f>IF(ISNUMBER(((NºAsuntos!G12/NºAsuntos!E12)-Datos!BD12)/Datos!BD12),((NºAsuntos!G12/NºAsuntos!E12)-Datos!BD12)/Datos!BD12," - ")</f>
        <v>4.4358361536047379E-2</v>
      </c>
      <c r="I12" s="515">
        <f>IF(ISNUMBER(((NºAsuntos!I12/NºAsuntos!G12)-Datos!BE12)/Datos!BE12),((NºAsuntos!I12/NºAsuntos!G12)-Datos!BE12)/Datos!BE12," - ")</f>
        <v>-0.13651622790214007</v>
      </c>
      <c r="J12" s="521">
        <f>IF(ISNUMBER((('Resol  Asuntos'!D12/NºAsuntos!G12)-Datos!BF12)/Datos!BF12),(('Resol  Asuntos'!D12/NºAsuntos!G12)-Datos!BF12)/Datos!BF12," - ")</f>
        <v>-0.67694929765544387</v>
      </c>
      <c r="K12" s="522">
        <f>IF(ISNUMBER((((NºAsuntos!C12+NºAsuntos!E12)/NºAsuntos!G12)-Datos!BG12)/Datos!BG12),(((NºAsuntos!C12+NºAsuntos!E12)/NºAsuntos!G12)-Datos!BG12)/Datos!BG12," - ")</f>
        <v>-3.7417965583830995E-2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7.456445993031359E-2</v>
      </c>
      <c r="C14" s="1152">
        <f>IF(ISNUMBER(
   IF(J_V="SI",(Datos!J14-Datos!T14)/Datos!T14,(Datos!J14+Datos!Z14-(Datos!T14+Datos!AH14))/(Datos!T14+Datos!AH14))
     ),IF(J_V="SI",(Datos!J14-Datos!T14)/Datos!T14,(Datos!J14+Datos!Z14-(Datos!T14+Datos!AH14))/(Datos!T14+Datos!AH14))," - ")</f>
        <v>6.4441353732035231E-2</v>
      </c>
      <c r="D14" s="1152">
        <f>IF(ISNUMBER(
   IF(J_V="SI",(Datos!K14-Datos!U14)/Datos!U14,(Datos!K14+Datos!AA14-(Datos!U14+Datos!AI14))/(Datos!U14+Datos!AI14))
     ),IF(J_V="SI",(Datos!K14-Datos!U14)/Datos!U14,(Datos!K14+Datos!AA14-(Datos!U14+Datos!AI14))/(Datos!U14+Datos!AI14))," - ")</f>
        <v>0.10884353741496598</v>
      </c>
      <c r="E14" s="1152">
        <f>IF(ISNUMBER(
   IF(J_V="SI",(Datos!L14-Datos!V14)/Datos!V14,(Datos!L14+Datos!AB14-(Datos!V14+Datos!AJ14))/(Datos!V14+Datos!AJ14))
     ),IF(J_V="SI",(Datos!L14-Datos!V14)/Datos!V14,(Datos!L14+Datos!AB14-(Datos!V14+Datos!AJ14))/(Datos!V14+Datos!AJ14))," - ")</f>
        <v>-5.3177691309987028E-2</v>
      </c>
      <c r="F14" s="1153">
        <f>IF(ISNUMBER((Datos!M14-Datos!W14)/Datos!W14),(Datos!M14-Datos!W14)/Datos!W14," - ")</f>
        <v>-7.1871127633209422E-2</v>
      </c>
      <c r="G14" s="1154">
        <f>IF(ISNUMBER((Datos!N14-Datos!X14)/Datos!X14),(Datos!N14-Datos!X14)/Datos!X14," - ")</f>
        <v>0.21645021645021645</v>
      </c>
      <c r="H14" s="1154">
        <f>IF(ISNUMBER(((NºAsuntos!G14/NºAsuntos!E14)-Datos!BD14)/Datos!BD14),((NºAsuntos!G14/NºAsuntos!E14)-Datos!BD14)/Datos!BD14," - ")</f>
        <v>4.1714072388537332E-2</v>
      </c>
      <c r="I14" s="1154">
        <f>IF(ISNUMBER(((NºAsuntos!I14/NºAsuntos!G14)-Datos!BE14)/Datos!BE14),((NºAsuntos!I14/NºAsuntos!G14)-Datos!BE14)/Datos!BE14," - ")</f>
        <v>-0.14611730443293311</v>
      </c>
      <c r="J14" s="1154">
        <f>IF(ISNUMBER((('Resol  Asuntos'!D14/NºAsuntos!G14)-Datos!BF14)/Datos!BF14),(('Resol  Asuntos'!D14/NºAsuntos!G14)-Datos!BF14)/Datos!BF14," - ")</f>
        <v>-0.675250707881076</v>
      </c>
      <c r="K14" s="1154">
        <f>IF(ISNUMBER((((NºAsuntos!C14+NºAsuntos!E14)/NºAsuntos!G14)-Datos!BG14)/Datos!BG14),(((NºAsuntos!C14+NºAsuntos!E14)/NºAsuntos!G14)-Datos!BG14)/Datos!BG14," - ")</f>
        <v>-3.6396491180127659E-2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-3.3251231527093597E-2</v>
      </c>
      <c r="C17" s="515">
        <f>IF(ISNUMBER(
   IF(D_I="SI",(Datos!J17-Datos!T17)/Datos!T17,(Datos!J17+Datos!AD17-(Datos!T17+Datos!AL17))/(Datos!T17+Datos!AL17))
     ),IF(D_I="SI",(Datos!J17-Datos!T17)/Datos!T17,(Datos!J17+Datos!AD17-(Datos!T17+Datos!AL17))/(Datos!T17+Datos!AL17))," - ")</f>
        <v>0.23557237464522232</v>
      </c>
      <c r="D17" s="515">
        <f>IF(ISNUMBER(
   IF(D_I="SI",(Datos!K17-Datos!U17)/Datos!U17,(Datos!K17+Datos!AE17-(Datos!U17+Datos!AM17))/(Datos!U17+Datos!AM17))
     ),IF(D_I="SI",(Datos!K17-Datos!U17)/Datos!U17,(Datos!K17+Datos!AE17-(Datos!U17+Datos!AM17))/(Datos!U17+Datos!AM17))," - ")</f>
        <v>0.24931838836716147</v>
      </c>
      <c r="E17" s="515">
        <f>IF(ISNUMBER(
   IF(D_I="SI",(Datos!L17-Datos!V17)/Datos!V17,(Datos!L17+Datos!AF17-(Datos!V17+Datos!AN17))/(Datos!V17+Datos!AN17))
     ),IF(D_I="SI",(Datos!L17-Datos!V17)/Datos!V17,(Datos!L17+Datos!AF17-(Datos!V17+Datos!AN17))/(Datos!V17+Datos!AN17))," - ")</f>
        <v>-6.751592356687898E-2</v>
      </c>
      <c r="F17" s="515">
        <f>IF(ISNUMBER((Datos!M17-Datos!W17)/Datos!W17),(Datos!M17-Datos!W17)/Datos!W17," - ")</f>
        <v>0.18367346938775511</v>
      </c>
      <c r="G17" s="516">
        <f>IF(ISNUMBER((Datos!N17-Datos!X17)/Datos!X17),(Datos!N17-Datos!X17)/Datos!X17," - ")</f>
        <v>0.48859934853420195</v>
      </c>
      <c r="H17" s="514">
        <f>IF(ISNUMBER(((NºAsuntos!G17/NºAsuntos!E17)-Datos!BD17)/Datos!BD17),((NºAsuntos!G17/NºAsuntos!E17)-Datos!BD17)/Datos!BD17," - ")</f>
        <v>1.1125219375260068E-2</v>
      </c>
      <c r="I17" s="515">
        <f>IF(ISNUMBER(((NºAsuntos!I17/NºAsuntos!G17)-Datos!BE17)/Datos!BE17),((NºAsuntos!I17/NºAsuntos!G17)-Datos!BE17)/Datos!BE17," - ")</f>
        <v>-0.25360573804419673</v>
      </c>
      <c r="J17" s="521">
        <f>IF(ISNUMBER((('Resol  Asuntos'!D17/NºAsuntos!G17)-Datos!BF17)/Datos!BF17),(('Resol  Asuntos'!D17/NºAsuntos!G17)-Datos!BF17)/Datos!BF17," - ")</f>
        <v>-5.2544587185019531E-2</v>
      </c>
      <c r="K17" s="522">
        <f>IF(ISNUMBER((((NºAsuntos!C17+NºAsuntos!E17)/NºAsuntos!G17)-Datos!BG17)/Datos!BG17),(((NºAsuntos!C17+NºAsuntos!E17)/NºAsuntos!G17)-Datos!BG17)/Datos!BG17," - ")</f>
        <v>-5.4870018626690116E-2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-0.13253012048192772</v>
      </c>
      <c r="C18" s="515">
        <f>IF(ISNUMBER(
   IF(D_I="SI",(Datos!J18-Datos!T18)/Datos!T18,(Datos!J18+Datos!AD18-(Datos!T18+Datos!AL18))/(Datos!T18+Datos!AL18))
     ),IF(D_I="SI",(Datos!J18-Datos!T18)/Datos!T18,(Datos!J18+Datos!AD18-(Datos!T18+Datos!AL18))/(Datos!T18+Datos!AL18))," - ")</f>
        <v>0.65441176470588236</v>
      </c>
      <c r="D18" s="515">
        <f>IF(ISNUMBER(
   IF(D_I="SI",(Datos!K18-Datos!U18)/Datos!U18,(Datos!K18+Datos!AE18-(Datos!U18+Datos!AM18))/(Datos!U18+Datos!AM18))
     ),IF(D_I="SI",(Datos!K18-Datos!U18)/Datos!U18,(Datos!K18+Datos!AE18-(Datos!U18+Datos!AM18))/(Datos!U18+Datos!AM18))," - ")</f>
        <v>0.43859649122807015</v>
      </c>
      <c r="E18" s="515">
        <f>IF(ISNUMBER(
   IF(D_I="SI",(Datos!L18-Datos!V18)/Datos!V18,(Datos!L18+Datos!AF18-(Datos!V18+Datos!AN18))/(Datos!V18+Datos!AN18))
     ),IF(D_I="SI",(Datos!L18-Datos!V18)/Datos!V18,(Datos!L18+Datos!AF18-(Datos!V18+Datos!AN18))/(Datos!V18+Datos!AN18))," - ")</f>
        <v>0.625</v>
      </c>
      <c r="F18" s="515">
        <f>IF(ISNUMBER((Datos!M18-Datos!W18)/Datos!W18),(Datos!M18-Datos!W18)/Datos!W18," - ")</f>
        <v>0.375</v>
      </c>
      <c r="G18" s="516">
        <f>IF(ISNUMBER((Datos!N18-Datos!X18)/Datos!X18),(Datos!N18-Datos!X18)/Datos!X18," - ")</f>
        <v>0.34946236559139787</v>
      </c>
      <c r="H18" s="514">
        <f>IF(ISNUMBER(((NºAsuntos!G18/NºAsuntos!E18)-Datos!BD18)/Datos!BD18),((NºAsuntos!G18/NºAsuntos!E18)-Datos!BD18)/Datos!BD18," - ")</f>
        <v>-0.13044834307992209</v>
      </c>
      <c r="I18" s="515">
        <f>IF(ISNUMBER(((NºAsuntos!I18/NºAsuntos!G18)-Datos!BE18)/Datos!BE18),((NºAsuntos!I18/NºAsuntos!G18)-Datos!BE18)/Datos!BE18," - ")</f>
        <v>0.12957317073170718</v>
      </c>
      <c r="J18" s="521">
        <f>IF(ISNUMBER((('Resol  Asuntos'!D18/NºAsuntos!G18)-Datos!BF18)/Datos!BF18),(('Resol  Asuntos'!D18/NºAsuntos!G18)-Datos!BF18)/Datos!BF18," - ")</f>
        <v>-4.4207317073170688E-2</v>
      </c>
      <c r="K18" s="522">
        <f>IF(ISNUMBER((((NºAsuntos!C18+NºAsuntos!E18)/NºAsuntos!G18)-Datos!BG18)/Datos!BG18),(((NºAsuntos!C18+NºAsuntos!E18)/NºAsuntos!G18)-Datos!BG18)/Datos!BG18," - ")</f>
        <v>2.2122981793198149E-2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-4.2458100558659215E-2</v>
      </c>
      <c r="C23" s="1152">
        <f>IF(ISNUMBER(
   IF(Criterios!B14="SI",(Datos!J23-Datos!T23)/Datos!T23,(Datos!J23+Datos!AD23-(Datos!T23+Datos!AL23))/(Datos!T23+Datos!AL23))
     ),IF(Criterios!B14="SI",(Datos!J23-Datos!T23)/Datos!T23,(Datos!J23+Datos!AD23-(Datos!T23+Datos!AL23))/(Datos!T23+Datos!AL23))," - ")</f>
        <v>0.26866105140865526</v>
      </c>
      <c r="D23" s="1152">
        <f>IF(ISNUMBER(
   IF(Criterios!B14="SI",(Datos!K23-Datos!U23)/Datos!U23,(Datos!K23+Datos!AE23-(Datos!U23+Datos!AM23))/(Datos!U23+Datos!AM23))
     ),IF(Criterios!B14="SI",(Datos!K23-Datos!U23)/Datos!U23,(Datos!K23+Datos!AE23-(Datos!U23+Datos!AM23))/(Datos!U23+Datos!AM23))," - ")</f>
        <v>0.26436140546569992</v>
      </c>
      <c r="E23" s="1152">
        <f>IF(ISNUMBER(
   IF(Criterios!B14="SI",(Datos!L23-Datos!V23)/Datos!V23,(Datos!L23+Datos!AF23-(Datos!V23+Datos!AN23))/(Datos!V23+Datos!AN23))
     ),IF(Criterios!B14="SI",(Datos!L23-Datos!V23)/Datos!V23,(Datos!L23+Datos!AF23-(Datos!V23+Datos!AN23))/(Datos!V23+Datos!AN23))," - ")</f>
        <v>-9.3348891481913644E-3</v>
      </c>
      <c r="F23" s="1153">
        <f>IF(ISNUMBER((Datos!M23-Datos!W23)/Datos!W23),(Datos!M23-Datos!W23)/Datos!W23," - ")</f>
        <v>0.19811320754716982</v>
      </c>
      <c r="G23" s="1154">
        <f>IF(ISNUMBER((Datos!N23-Datos!X23)/Datos!X23),(Datos!N23-Datos!X23)/Datos!X23," - ")</f>
        <v>0.47583826429980275</v>
      </c>
      <c r="H23" s="1154">
        <f>IF(ISNUMBER(((NºAsuntos!G23/NºAsuntos!E23)-Datos!BD23)/Datos!BD23),((NºAsuntos!G23/NºAsuntos!E23)-Datos!BD23)/Datos!BD23," - ")</f>
        <v>-3.3891211038449319E-3</v>
      </c>
      <c r="I23" s="1154">
        <f>IF(ISNUMBER(((NºAsuntos!I23/NºAsuntos!G23)-Datos!BE23)/Datos!BE23),((NºAsuntos!I23/NºAsuntos!G23)-Datos!BE23)/Datos!BE23," - ")</f>
        <v>-0.21646998510926654</v>
      </c>
      <c r="J23" s="1154">
        <f>IF(ISNUMBER((('Resol  Asuntos'!D23/NºAsuntos!G23)-Datos!BF23)/Datos!BF23),(('Resol  Asuntos'!D23/NºAsuntos!G23)-Datos!BF23)/Datos!BF23," - ")</f>
        <v>-5.2396567652370857E-2</v>
      </c>
      <c r="K23" s="1154">
        <f>IF(ISNUMBER((((NºAsuntos!C23+NºAsuntos!E23)/NºAsuntos!G23)-Datos!BG23)/Datos!BG23),(((NºAsuntos!C23+NºAsuntos!E23)/NºAsuntos!G23)-Datos!BG23)/Datos!BG23," - ")</f>
        <v>-4.7367230797358412E-2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4.6746347941567068E-2</v>
      </c>
      <c r="C31" s="1092">
        <f>IF(ISNUMBER(
   IF(J_V="SI",(Datos!J31-Datos!T31)/Datos!T31,(Datos!J31+Datos!Z31-(Datos!T31+Datos!AH31))/(Datos!T31+Datos!AH31))
     ),IF(J_V="SI",(Datos!J31-Datos!T31)/Datos!T31,(Datos!J31+Datos!Z31-(Datos!T31+Datos!AH31))/(Datos!T31+Datos!AH31))," - ")</f>
        <v>0.15508572901895062</v>
      </c>
      <c r="D31" s="1092">
        <f>IF(ISNUMBER(
   IF(J_V="SI",(Datos!K31-Datos!U31)/Datos!U31,(Datos!K31+Datos!AA31-(Datos!U31+Datos!AI31))/(Datos!U31+Datos!AI31))
     ),IF(J_V="SI",(Datos!K31-Datos!U31)/Datos!U31,(Datos!K31+Datos!AA31-(Datos!U31+Datos!AI31))/(Datos!U31+Datos!AI31))," - ")</f>
        <v>0.1812516229550766</v>
      </c>
      <c r="E31" s="1092">
        <f>IF(ISNUMBER(
   IF(J_V="SI",(Datos!L31-Datos!V31)/Datos!V31,(Datos!L31+Datos!AB31-(Datos!V31+Datos!AJ31))/(Datos!V31+Datos!AJ31))
     ),IF(J_V="SI",(Datos!L31-Datos!V31)/Datos!V31,(Datos!L31+Datos!AB31-(Datos!V31+Datos!AJ31))/(Datos!V31+Datos!AJ31))," - ")</f>
        <v>-4.3643745242324283E-2</v>
      </c>
      <c r="F31" s="1093">
        <f>IF(ISNUMBER((Datos!M31-Datos!W31)/Datos!W31),(Datos!M31-Datos!W31)/Datos!W31," - ")</f>
        <v>4.4444444444444444E-3</v>
      </c>
      <c r="G31" s="1094">
        <f>IF(ISNUMBER((Datos!N31-Datos!X31)/Datos!X31),(Datos!N31-Datos!X31)/Datos!X31," - ")</f>
        <v>0.34453372291210127</v>
      </c>
      <c r="H31" s="1095">
        <f>IF(ISNUMBER((Tasas!B31-Datos!BD31)/Datos!BD31),(Tasas!B31-Datos!BD31)/Datos!BD31," - ")</f>
        <v>2.2652772239121533E-2</v>
      </c>
      <c r="I31" s="1096">
        <f>IF(ISNUMBER((Tasas!C31-Datos!BE31)/Datos!BE31),(Tasas!C31-Datos!BE31)/Datos!BE31," - ")</f>
        <v>-0.19038735170986834</v>
      </c>
      <c r="J31" s="1097">
        <f>IF(ISNUMBER((Tasas!D31-Datos!BF31)/Datos!BF31),(Tasas!D31-Datos!BF31)/Datos!BF31," - ")</f>
        <v>-0.60107904825062142</v>
      </c>
      <c r="K31" s="1097">
        <f>IF(ISNUMBER((Tasas!E31-Datos!BG31)/Datos!BG31),(Tasas!E31-Datos!BG31)/Datos!BG31," - ")</f>
        <v>-5.2120597452820293E-2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bLMt6Yj3dRJ5EUB9ZHx/AxJHwqFiKtdWHxEqxhl3iYtC6G8WocK45jbWckenrbt2sKs1QVJO/IEQVWRabEKsw==" saltValue="j6X4iKALHbQcNSmCBbBF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SAN LORENZO DE EL ESCORIAL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0.79069767441860461</v>
      </c>
      <c r="C10" s="498">
        <f>IF(ISNUMBER(NºAsuntos!I10/NºAsuntos!G10),NºAsuntos!I10/NºAsuntos!G10," - ")</f>
        <v>0.6470588235294118</v>
      </c>
      <c r="D10" s="499">
        <f>IF(ISNUMBER('Resol  Asuntos'!D10/NºAsuntos!G10),'Resol  Asuntos'!D10/NºAsuntos!G10," - ")</f>
        <v>0.17647058823529413</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0.99582325785887005</v>
      </c>
      <c r="C12" s="498">
        <f>IF(ISNUMBER(NºAsuntos!I12/NºAsuntos!G12),NºAsuntos!I12/NºAsuntos!G12," - ")</f>
        <v>0.6397350993377483</v>
      </c>
      <c r="D12" s="499">
        <f>IF(ISNUMBER('Resol  Asuntos'!D12/NºAsuntos!G12),'Resol  Asuntos'!D12/NºAsuntos!G12," - ")</f>
        <v>0.16401766004415011</v>
      </c>
      <c r="E12" s="500">
        <f>IF(ISNUMBER((NºAsuntos!C12+NºAsuntos!E12)/NºAsuntos!G12),(NºAsuntos!C12+NºAsuntos!E12)/NºAsuntos!G12," - ")</f>
        <v>1.6719646799116998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0.99390243902439024</v>
      </c>
      <c r="C14" s="1156">
        <f>IF(ISNUMBER(NºAsuntos!I14/NºAsuntos!G14),NºAsuntos!I14/NºAsuntos!G14," - ")</f>
        <v>0.63978965819456612</v>
      </c>
      <c r="D14" s="1157">
        <f>IF(ISNUMBER('Resol  Asuntos'!D14/NºAsuntos!G14),'Resol  Asuntos'!D14/NºAsuntos!G14," - ")</f>
        <v>0.16411042944785276</v>
      </c>
      <c r="E14" s="1158">
        <f>IF(ISNUMBER((NºAsuntos!C14+NºAsuntos!E14)/NºAsuntos!G14),(NºAsuntos!C14+NºAsuntos!E14)/NºAsuntos!G14," - ")</f>
        <v>1.6818580192813322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1.0525778458397141</v>
      </c>
      <c r="C17" s="498">
        <f>IF(ISNUMBER(NºAsuntos!I17/NºAsuntos!G17),NºAsuntos!I17/NºAsuntos!G17," - ")</f>
        <v>0.17749757516973813</v>
      </c>
      <c r="D17" s="499">
        <f>IF(ISNUMBER('Resol  Asuntos'!D17/NºAsuntos!G17),'Resol  Asuntos'!D17/NºAsuntos!G17," - ")</f>
        <v>8.438409311348205E-2</v>
      </c>
      <c r="E17" s="500">
        <f>IF(ISNUMBER((NºAsuntos!C17+NºAsuntos!E17)/NºAsuntos!G17),(NºAsuntos!C17+NºAsuntos!E17)/NºAsuntos!G17," - ")</f>
        <v>1.1403976721629485</v>
      </c>
      <c r="G17" s="523"/>
    </row>
    <row r="18" spans="1:7">
      <c r="A18" s="450" t="str">
        <f>Datos!A18</f>
        <v>Jdos. Violencia contra la mujer</v>
      </c>
      <c r="B18" s="497">
        <f>IF(ISNUMBER(NºAsuntos!G18/NºAsuntos!E18),NºAsuntos!G18/NºAsuntos!E18," - ")</f>
        <v>0.91111111111111109</v>
      </c>
      <c r="C18" s="498">
        <f>IF(ISNUMBER(NºAsuntos!I18/NºAsuntos!G18),NºAsuntos!I18/NºAsuntos!G18," - ")</f>
        <v>0.28536585365853656</v>
      </c>
      <c r="D18" s="499">
        <f>IF(ISNUMBER('Resol  Asuntos'!D18/NºAsuntos!G18),'Resol  Asuntos'!D18/NºAsuntos!G18," - ")</f>
        <v>8.0487804878048783E-2</v>
      </c>
      <c r="E18" s="500">
        <f>IF(ISNUMBER((NºAsuntos!C18+NºAsuntos!E18)/NºAsuntos!G18),(NºAsuntos!C18+NºAsuntos!E18)/NºAsuntos!G18," - ")</f>
        <v>1.2731707317073171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1.0380036630036631</v>
      </c>
      <c r="C23" s="1156">
        <f>IF(ISNUMBER(NºAsuntos!I23/NºAsuntos!G23),NºAsuntos!I23/NºAsuntos!G23," - ")</f>
        <v>0.18725187472430524</v>
      </c>
      <c r="D23" s="1159">
        <f>IF(ISNUMBER('Resol  Asuntos'!D23/NºAsuntos!G23),'Resol  Asuntos'!D23/NºAsuntos!G23," - ")</f>
        <v>8.4031760035288922E-2</v>
      </c>
      <c r="E23" s="1158">
        <f>IF(ISNUMBER((NºAsuntos!C23+NºAsuntos!E23)/NºAsuntos!G23),(NºAsuntos!C23+NºAsuntos!E23)/NºAsuntos!G23," - ")</f>
        <v>1.1524040582267314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1.0154017857142856</v>
      </c>
      <c r="C31" s="1099">
        <f>IF(ISNUMBER(NºAsuntos!I31/NºAsuntos!G31),NºAsuntos!I31/NºAsuntos!G31," - ")</f>
        <v>0.4142668718399648</v>
      </c>
      <c r="D31" s="1100">
        <f>IF(ISNUMBER('Resol  Asuntos'!D31/NºAsuntos!G31),'Resol  Asuntos'!D31/NºAsuntos!G31," - ")</f>
        <v>0.12420312156517917</v>
      </c>
      <c r="E31" s="1101">
        <f>IF(ISNUMBER((NºAsuntos!C31+NºAsuntos!E31)/NºAsuntos!G31),(NºAsuntos!C31+NºAsuntos!E31)/NºAsuntos!G31," - ")</f>
        <v>1.4180039569136074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rdfWQN9bc2jxciANl9T/wOlOBbi8iFF4AUkuknHNlmbWoYl9VqE/tNU/zmFEGr3n9EeXWmTEs5w+eoP9GbrJQ==" saltValue="bHPmjUULItPdlsIXwKeN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SAN LORENZO DE EL ESCORIAL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59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10</v>
      </c>
      <c r="Y10" s="374">
        <f t="shared" ref="Y10:Y13" si="0">SUM(W10:X10)</f>
        <v>44</v>
      </c>
      <c r="Z10" s="375" t="str">
        <f>IF(ISNUMBER(Datos!CC10),Datos!CC10," - ")</f>
        <v xml:space="preserve"> - </v>
      </c>
      <c r="AA10" s="372">
        <f>IF(ISNUMBER(Datos!L10),Datos!L10,"-")</f>
        <v>22</v>
      </c>
      <c r="AB10" s="374">
        <f>IF(ISNUMBER(Datos!R10),Datos!R10," - ")</f>
        <v>88</v>
      </c>
      <c r="AC10" s="374">
        <f t="shared" ref="AC10:AC13" si="1">IF(ISNUMBER(AA10+AB10),AA10+AB10," - ")</f>
        <v>110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0.79069767441860461</v>
      </c>
      <c r="AM10" s="284">
        <f>IF(ISNUMBER(((NºAsuntos!I10/NºAsuntos!G10)*11)/factor_trimestre),((NºAsuntos!I10/NºAsuntos!G10)*11)/factor_trimestre," - ")</f>
        <v>7.1176470588235299</v>
      </c>
      <c r="AN10" s="267">
        <f>IF(ISNUMBER('Resol  Asuntos'!D10/NºAsuntos!G10),'Resol  Asuntos'!D10/NºAsuntos!G10," - ")</f>
        <v>0.17647058823529413</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1086</v>
      </c>
      <c r="Y12" s="374">
        <f t="shared" si="0"/>
        <v>1086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743</v>
      </c>
      <c r="AJ12" s="243" t="str">
        <f>IF(ISNUMBER(Datos!BW12),Datos!BW12," - ")</f>
        <v xml:space="preserve"> - </v>
      </c>
      <c r="AK12" s="242" t="str">
        <f>IF(ISNUMBER(Datos!BX12),Datos!BX12," - ")</f>
        <v xml:space="preserve"> - </v>
      </c>
      <c r="AL12" s="266">
        <f>IF(ISNUMBER(NºAsuntos!G12/NºAsuntos!E12),NºAsuntos!G12/NºAsuntos!E12," - ")</f>
        <v>0.99582325785887005</v>
      </c>
      <c r="AM12" s="284">
        <f>IF(ISNUMBER(((NºAsuntos!I12/NºAsuntos!G12)*11)/factor_trimestre),((NºAsuntos!I12/NºAsuntos!G12)*11)/factor_trimestre," - ")</f>
        <v>7.0370860927152314</v>
      </c>
      <c r="AN12" s="267">
        <f>IF(ISNUMBER('Resol  Asuntos'!D12/NºAsuntos!G12),'Resol  Asuntos'!D12/NºAsuntos!G12," - ")</f>
        <v>0.16401766004415011</v>
      </c>
      <c r="AO12" s="268">
        <f>IF(ISNUMBER((NºAsuntos!C12+NºAsuntos!E12)/NºAsuntos!G12),(NºAsuntos!C12+NºAsuntos!E12)/NºAsuntos!G12," - ")</f>
        <v>1.6719646799116998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13</v>
      </c>
      <c r="G14" s="1163">
        <f t="shared" si="5"/>
        <v>59</v>
      </c>
      <c r="H14" s="1162">
        <f t="shared" si="5"/>
        <v>0</v>
      </c>
      <c r="I14" s="1164">
        <f t="shared" si="5"/>
        <v>0</v>
      </c>
      <c r="J14" s="1164">
        <f t="shared" si="5"/>
        <v>0</v>
      </c>
      <c r="K14" s="1164">
        <f t="shared" si="5"/>
        <v>0</v>
      </c>
      <c r="L14" s="1164">
        <f t="shared" si="5"/>
        <v>814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1096</v>
      </c>
      <c r="Y14" s="1165">
        <f t="shared" si="6"/>
        <v>1130</v>
      </c>
      <c r="Z14" s="1165">
        <f t="shared" si="6"/>
        <v>0</v>
      </c>
      <c r="AA14" s="1165">
        <f t="shared" si="6"/>
        <v>22</v>
      </c>
      <c r="AB14" s="1165">
        <f t="shared" si="6"/>
        <v>3518</v>
      </c>
      <c r="AC14" s="1165">
        <f t="shared" si="6"/>
        <v>110</v>
      </c>
      <c r="AD14" s="1165">
        <f t="shared" si="6"/>
        <v>0</v>
      </c>
      <c r="AE14" s="1169">
        <f t="shared" si="6"/>
        <v>0</v>
      </c>
      <c r="AF14" s="1162">
        <f t="shared" si="6"/>
        <v>0</v>
      </c>
      <c r="AG14" s="1170">
        <f t="shared" si="6"/>
        <v>0</v>
      </c>
      <c r="AH14" s="1167">
        <f t="shared" si="6"/>
        <v>0</v>
      </c>
      <c r="AI14" s="1162">
        <f t="shared" si="6"/>
        <v>749</v>
      </c>
      <c r="AJ14" s="1164">
        <f t="shared" si="6"/>
        <v>0</v>
      </c>
      <c r="AK14" s="1167">
        <f>SUBTOTAL(9,AK9:AK13)</f>
        <v>0</v>
      </c>
      <c r="AL14" s="1171">
        <f>IF(ISNUMBER(NºAsuntos!G14/NºAsuntos!E14),NºAsuntos!G14/NºAsuntos!E14," - ")</f>
        <v>0.99390243902439024</v>
      </c>
      <c r="AM14" s="1171">
        <f>IF(ISNUMBER(((NºAsuntos!I14/NºAsuntos!G14)*11)/factor_trimestre),((NºAsuntos!I14/NºAsuntos!G14)*11)/factor_trimestre," - ")</f>
        <v>7.0376862401402276</v>
      </c>
      <c r="AN14" s="1172">
        <f>IF(ISNUMBER('Resol  Asuntos'!D14/NºAsuntos!G14),'Resol  Asuntos'!D14/NºAsuntos!G14," - ")</f>
        <v>0.16411042944785276</v>
      </c>
      <c r="AO14" s="1173">
        <f>IF(ISNUMBER((NºAsuntos!C14+NºAsuntos!E14)/NºAsuntos!G14),(NºAsuntos!C14+NºAsuntos!E14)/NºAsuntos!G14," - ")</f>
        <v>1.6818580192813322</v>
      </c>
      <c r="AP14" s="1174" t="str">
        <f t="shared" si="2"/>
        <v xml:space="preserve"> - </v>
      </c>
      <c r="AQ14" s="1174">
        <f>IF(ISNUMBER((H14-W14+K14)/(F14)),(H14-W14+K14)/(F14)," - ")</f>
        <v>-2.6153846153846154</v>
      </c>
      <c r="AR14" s="1175">
        <f>IF(ISNUMBER((Datos!P14-Datos!Q14)/(Datos!R14-Datos!P14+Datos!Q14)),(Datos!P14-Datos!Q14)/(Datos!R14-Datos!P14+Datos!Q14)," - ")</f>
        <v>-7.4210526315789477E-2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938</v>
      </c>
      <c r="G17" s="373">
        <f>IF(ISNUMBER(IF(D_I="SI",Datos!I17,Datos!I17+Datos!AC17)),IF(D_I="SI",Datos!I17,Datos!I17+Datos!AC17)," - ")</f>
        <v>785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4124</v>
      </c>
      <c r="X17" s="240">
        <f>IF(ISNUMBER(Datos!Q17),Datos!Q17," - ")</f>
        <v>64</v>
      </c>
      <c r="Y17" s="374">
        <f t="shared" ref="Y17:Y22" si="9">SUM(W17:X17)</f>
        <v>4188</v>
      </c>
      <c r="Z17" s="375" t="str">
        <f>IF(ISNUMBER(Datos!CC17),Datos!CC17," - ")</f>
        <v xml:space="preserve"> - </v>
      </c>
      <c r="AA17" s="372">
        <f>IF(ISNUMBER(IF(D_I="SI",Datos!L17,Datos!L17+Datos!AF17)),IF(D_I="SI",Datos!L17,Datos!L17+Datos!AF17)," - ")</f>
        <v>732</v>
      </c>
      <c r="AB17" s="374">
        <f>IF(ISNUMBER(Datos!R17),Datos!R17," - ")</f>
        <v>94</v>
      </c>
      <c r="AC17" s="374">
        <f t="shared" si="8"/>
        <v>826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348</v>
      </c>
      <c r="AJ17" s="245" t="str">
        <f>IF(ISNUMBER(Datos!BW17),Datos!BW17," - ")</f>
        <v xml:space="preserve"> - </v>
      </c>
      <c r="AK17" s="246" t="str">
        <f>IF(ISNUMBER(Datos!BX17),Datos!BX17," - ")</f>
        <v xml:space="preserve"> - </v>
      </c>
      <c r="AL17" s="266">
        <f>IF(ISNUMBER(NºAsuntos!G17/NºAsuntos!E17),NºAsuntos!G17/NºAsuntos!E17," - ")</f>
        <v>1.0525778458397141</v>
      </c>
      <c r="AM17" s="284">
        <f>IF(ISNUMBER(((NºAsuntos!I17/NºAsuntos!G17)*11)/factor_trimestre),((NºAsuntos!I17/NºAsuntos!G17)*11)/factor_trimestre," - ")</f>
        <v>1.9524733268671195</v>
      </c>
      <c r="AN17" s="267">
        <f>IF(ISNUMBER('Resol  Asuntos'!D17/NºAsuntos!G17),'Resol  Asuntos'!D17/NºAsuntos!G17," - ")</f>
        <v>8.438409311348205E-2</v>
      </c>
      <c r="AO17" s="268">
        <f>IF(ISNUMBER((NºAsuntos!C17+NºAsuntos!E17)/NºAsuntos!G17),(NºAsuntos!C17+NºAsuntos!E17)/NºAsuntos!G17," - ")</f>
        <v>1.1403976721629485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410</v>
      </c>
      <c r="X18" s="240">
        <f>IF(ISNUMBER(Datos!Q18),Datos!Q18," - ")</f>
        <v>3</v>
      </c>
      <c r="Y18" s="374">
        <f t="shared" si="9"/>
        <v>413</v>
      </c>
      <c r="Z18" s="375" t="str">
        <f>IF(ISNUMBER(Datos!CC18),Datos!CC18," - ")</f>
        <v xml:space="preserve"> - </v>
      </c>
      <c r="AA18" s="372">
        <f>IF(ISNUMBER(Datos!L18),Datos!L18,"-")</f>
        <v>117</v>
      </c>
      <c r="AB18" s="374">
        <f>IF(ISNUMBER(Datos!R18),Datos!R18," - ")</f>
        <v>2</v>
      </c>
      <c r="AC18" s="374">
        <f t="shared" si="8"/>
        <v>119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0.91111111111111109</v>
      </c>
      <c r="AM18" s="284">
        <f>IF(ISNUMBER(((NºAsuntos!I18/NºAsuntos!G18)*11)/factor_trimestre),((NºAsuntos!I18/NºAsuntos!G18)*11)/factor_trimestre," - ")</f>
        <v>3.1390243902439021</v>
      </c>
      <c r="AN18" s="267">
        <f>IF(ISNUMBER('Resol  Asuntos'!D18/NºAsuntos!G18),'Resol  Asuntos'!D18/NºAsuntos!G18," - ")</f>
        <v>8.0487804878048783E-2</v>
      </c>
      <c r="AO18" s="268">
        <f>IF(ISNUMBER((NºAsuntos!C18+NºAsuntos!E18)/NºAsuntos!G18),(NºAsuntos!C18+NºAsuntos!E18)/NºAsuntos!G18," - ")</f>
        <v>1.2731707317073171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938</v>
      </c>
      <c r="G23" s="1163">
        <f>SUBTOTAL(9,G16:G22)</f>
        <v>857</v>
      </c>
      <c r="H23" s="1162">
        <f t="shared" ref="H23:O23" si="13">SUBTOTAL(9,H15:H22)</f>
        <v>0</v>
      </c>
      <c r="I23" s="1164">
        <f t="shared" si="13"/>
        <v>0</v>
      </c>
      <c r="J23" s="1164">
        <f t="shared" si="13"/>
        <v>0</v>
      </c>
      <c r="K23" s="1164">
        <f t="shared" si="13"/>
        <v>0</v>
      </c>
      <c r="L23" s="1164">
        <f t="shared" si="13"/>
        <v>82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4534</v>
      </c>
      <c r="X23" s="1164">
        <f t="shared" si="14"/>
        <v>67</v>
      </c>
      <c r="Y23" s="1165">
        <f t="shared" si="14"/>
        <v>4601</v>
      </c>
      <c r="Z23" s="1165">
        <f t="shared" si="14"/>
        <v>0</v>
      </c>
      <c r="AA23" s="1165">
        <f t="shared" si="14"/>
        <v>849</v>
      </c>
      <c r="AB23" s="1165">
        <f t="shared" si="14"/>
        <v>96</v>
      </c>
      <c r="AC23" s="1165">
        <f t="shared" si="14"/>
        <v>945</v>
      </c>
      <c r="AD23" s="1165">
        <f t="shared" si="14"/>
        <v>0</v>
      </c>
      <c r="AE23" s="1169">
        <f t="shared" si="14"/>
        <v>0</v>
      </c>
      <c r="AF23" s="1162">
        <f t="shared" si="14"/>
        <v>0</v>
      </c>
      <c r="AG23" s="1170">
        <f t="shared" si="14"/>
        <v>0</v>
      </c>
      <c r="AH23" s="1167">
        <f t="shared" si="14"/>
        <v>0</v>
      </c>
      <c r="AI23" s="1162">
        <f t="shared" si="14"/>
        <v>381</v>
      </c>
      <c r="AJ23" s="1164">
        <f t="shared" si="14"/>
        <v>0</v>
      </c>
      <c r="AK23" s="1167">
        <f t="shared" si="14"/>
        <v>0</v>
      </c>
      <c r="AL23" s="1171">
        <f>IF(ISNUMBER(NºAsuntos!G23/NºAsuntos!E23),NºAsuntos!G23/NºAsuntos!E23," - ")</f>
        <v>1.0380036630036631</v>
      </c>
      <c r="AM23" s="1171">
        <f>IF(ISNUMBER(((NºAsuntos!I23/NºAsuntos!G23)*11)/factor_trimestre),((NºAsuntos!I23/NºAsuntos!G23)*11)/factor_trimestre," - ")</f>
        <v>2.0597706219673575</v>
      </c>
      <c r="AN23" s="1172">
        <f>IF(ISNUMBER('Resol  Asuntos'!D23/NºAsuntos!G23),'Resol  Asuntos'!D23/NºAsuntos!G23," - ")</f>
        <v>8.4031760035288922E-2</v>
      </c>
      <c r="AO23" s="1173">
        <f>IF(ISNUMBER((NºAsuntos!C23+NºAsuntos!E23)/NºAsuntos!G23),(NºAsuntos!C23+NºAsuntos!E23)/NºAsuntos!G23," - ")</f>
        <v>1.1524040582267314</v>
      </c>
      <c r="AP23" s="1174" t="str">
        <f t="shared" si="2"/>
        <v xml:space="preserve"> - </v>
      </c>
      <c r="AQ23" s="1174">
        <f>IF(ISNUMBER((H23-W23+K23)/(F23)),(H23-W23+K23)/(F23)," - ")</f>
        <v>-4.8336886993603407</v>
      </c>
      <c r="AR23" s="1175">
        <f>IF(ISNUMBER((Datos!P23-Datos!Q23)/(Datos!R23-Datos!P23+Datos!Q23)),(Datos!P23-Datos!Q23)/(Datos!R23-Datos!P23+Datos!Q23)," - ")</f>
        <v>0.18518518518518517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951</v>
      </c>
      <c r="G31" s="1118">
        <f t="shared" si="20"/>
        <v>916</v>
      </c>
      <c r="H31" s="1117">
        <f t="shared" si="20"/>
        <v>0</v>
      </c>
      <c r="I31" s="1119">
        <f t="shared" si="20"/>
        <v>0</v>
      </c>
      <c r="J31" s="1119">
        <f t="shared" si="20"/>
        <v>0</v>
      </c>
      <c r="K31" s="1180">
        <f t="shared" si="20"/>
        <v>0</v>
      </c>
      <c r="L31" s="1119">
        <f t="shared" si="20"/>
        <v>896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4568</v>
      </c>
      <c r="X31" s="1118">
        <f t="shared" si="21"/>
        <v>1163</v>
      </c>
      <c r="Y31" s="1125">
        <f t="shared" si="21"/>
        <v>5731</v>
      </c>
      <c r="Z31" s="1125">
        <f t="shared" si="21"/>
        <v>0</v>
      </c>
      <c r="AA31" s="1125">
        <f t="shared" si="21"/>
        <v>871</v>
      </c>
      <c r="AB31" s="1125">
        <f t="shared" si="21"/>
        <v>3614</v>
      </c>
      <c r="AC31" s="1125">
        <f t="shared" si="21"/>
        <v>1055</v>
      </c>
      <c r="AD31" s="1125">
        <f t="shared" si="21"/>
        <v>0</v>
      </c>
      <c r="AE31" s="1127">
        <f t="shared" si="21"/>
        <v>0</v>
      </c>
      <c r="AF31" s="1128">
        <f t="shared" si="21"/>
        <v>0</v>
      </c>
      <c r="AG31" s="1129">
        <f t="shared" si="21"/>
        <v>0</v>
      </c>
      <c r="AH31" s="1127">
        <f t="shared" si="21"/>
        <v>0</v>
      </c>
      <c r="AI31" s="1117">
        <f t="shared" si="21"/>
        <v>1130</v>
      </c>
      <c r="AJ31" s="1117">
        <f t="shared" si="21"/>
        <v>0</v>
      </c>
      <c r="AK31" s="1127">
        <f t="shared" si="21"/>
        <v>0</v>
      </c>
      <c r="AL31" s="1183">
        <f>IF(ISNUMBER(NºAsuntos!G31/NºAsuntos!E31),NºAsuntos!G31/NºAsuntos!E31," - ")</f>
        <v>1.0154017857142856</v>
      </c>
      <c r="AM31" s="1184">
        <f>IF(ISNUMBER(((NºAsuntos!I31/NºAsuntos!G31)*11)/factor_trimestre),((NºAsuntos!I31/NºAsuntos!G31)*11)/factor_trimestre," - ")</f>
        <v>4.5569355902396129</v>
      </c>
      <c r="AN31" s="1184">
        <f>IF(ISNUMBER('Resol  Asuntos'!D31/NºAsuntos!G31),'Resol  Asuntos'!D31/NºAsuntos!G31," - ")</f>
        <v>0.12420312156517917</v>
      </c>
      <c r="AO31" s="1185">
        <f>IF(ISNUMBER((NºAsuntos!C31+NºAsuntos!E31)/NºAsuntos!G31),(NºAsuntos!C31+NºAsuntos!E31)/NºAsuntos!G31," - ")</f>
        <v>1.4180039569136074</v>
      </c>
      <c r="AP31" s="1186" t="str">
        <f t="shared" si="2"/>
        <v xml:space="preserve"> - </v>
      </c>
      <c r="AQ31" s="1187">
        <f>IF(OR(ISNUMBER(FIND("01",Criterios!A8,1)),ISNUMBER(FIND("02",Criterios!A8,1)),ISNUMBER(FIND("03",Criterios!A8,1)),ISNUMBER(FIND("04",Criterios!A8,1))),(I31-W31+K31)/(F31-K31),(H31-W31+K31)/(F31-K31))</f>
        <v>-4.8033648790746586</v>
      </c>
      <c r="AR31" s="1188">
        <f>IF(ISNUMBER((Datos!P31-Datos!Q31)/(Datos!R31-Datos!P31+Datos!Q31)),(Datos!P31-Datos!Q31)/(Datos!R31-Datos!P31+Datos!Q31)," - ")</f>
        <v>-6.8796701880958516E-2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481.05966365930118</v>
      </c>
      <c r="G33" s="277">
        <f>IF(ISNUMBER(STDEV(G8:G30)),STDEV(G8:G30),"-")</f>
        <v>383.70114858906982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2074.0925267508701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325.57421800347066</v>
      </c>
      <c r="AJ33" s="276">
        <f t="shared" si="25"/>
        <v>0</v>
      </c>
      <c r="AK33" s="278">
        <f t="shared" si="25"/>
        <v>0</v>
      </c>
      <c r="AL33" s="273">
        <f t="shared" si="25"/>
        <v>9.8040595214690121E-2</v>
      </c>
      <c r="AM33" s="274">
        <f t="shared" si="25"/>
        <v>2.5971015951737528</v>
      </c>
      <c r="AN33" s="274">
        <f t="shared" si="25"/>
        <v>4.6922413919525077E-2</v>
      </c>
      <c r="AO33" s="275">
        <f t="shared" si="25"/>
        <v>0.70331054644956181</v>
      </c>
      <c r="AP33" s="317" t="str">
        <f t="shared" si="25"/>
        <v>-</v>
      </c>
      <c r="AQ33" s="318">
        <f t="shared" si="25"/>
        <v>1.5685778605130496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ac4+isy79l/iASKAZnklDPqGh2gzUpLzqOSVDURBxX53wO5GalWHH5GkXyfdycje54tbDBiqEjNV7w077CJfug==" saltValue="LyfSvnYv4G2fuhWsMqex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SAN LORENZO DE EL ESCORIAL</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-1.6666666666666666E-2</v>
      </c>
      <c r="E10" s="393">
        <f>IF(ISNUMBER((Datos!J10-Datos!T10)/Datos!T10),(Datos!J10-Datos!T10)/Datos!T10," - ")</f>
        <v>0.34375</v>
      </c>
      <c r="F10" s="393">
        <f>IF(ISNUMBER((Datos!K10-Datos!U10)/Datos!U10),(Datos!K10-Datos!U10)/Datos!U10," - ")</f>
        <v>3.0303030303030304E-2</v>
      </c>
      <c r="G10" s="394">
        <f>IF(ISNUMBER((Datos!L10-Datos!V10)/Datos!V10),(Datos!L10-Datos!V10)/Datos!V10," - ")</f>
        <v>-0.6271186440677966</v>
      </c>
      <c r="H10" s="244">
        <f>IF(ISNUMBER((Datos!M10-Datos!W10)/Datos!W10),(Datos!M10-Datos!W10)/Datos!W10," - ")</f>
        <v>-0.14285714285714285</v>
      </c>
      <c r="I10" s="395">
        <f>IF(ISNUMBER((Tasas!C10-Datos!BE10)/Datos!BE10),(Tasas!C10-Datos!BE10)/Datos!BE10," - ")</f>
        <v>-0.63808574277168484</v>
      </c>
      <c r="J10" s="394">
        <f>IF(ISNUMBER((Tasas!D10-Datos!BF10)/Datos!BF10),(Tasas!D10-Datos!BF10)/Datos!BF10," - ")</f>
        <v>-0.16806722689075626</v>
      </c>
      <c r="K10" s="396">
        <f>IF(ISNUMBER((Tasas!E10-Datos!BG10)/Datos!BG10),(Tasas!E10-Datos!BG10)/Datos!BG10," - ")</f>
        <v>7.6086956521739052E-2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-7.1249999999999994E-2</v>
      </c>
      <c r="I12" s="395">
        <f>IF(ISNUMBER((Tasas!C12-Datos!BE12)/Datos!BE12),(Tasas!C12-Datos!BE12)/Datos!BE12," - ")</f>
        <v>-0.13651622790214007</v>
      </c>
      <c r="J12" s="394">
        <f>IF(ISNUMBER((Tasas!D12-Datos!BF12)/Datos!BF12),(Tasas!D12-Datos!BF12)/Datos!BF12," - ")</f>
        <v>-0.67694929765544387</v>
      </c>
      <c r="K12" s="396">
        <f>IF(ISNUMBER((Tasas!E12-Datos!BG12)/Datos!BG12),(Tasas!E12-Datos!BG12)/Datos!BG12," - ")</f>
        <v>-3.7417965583830995E-2</v>
      </c>
      <c r="M12" t="e">
        <f>IF(Monitorios="SI",Datos!CE12,0)</f>
        <v>#REF!</v>
      </c>
      <c r="N12" t="e">
        <f>IF(Monitorios="SI",Datos!CF12,0)</f>
        <v>#REF!</v>
      </c>
      <c r="O12" t="e">
        <f>IF(Monitorios="SI",Datos!CG12,0)</f>
        <v>#REF!</v>
      </c>
      <c r="P12" t="e">
        <f>IF(Monitorios="SI",Datos!CH12,0)</f>
        <v>#REF!</v>
      </c>
      <c r="Q12">
        <f>IF(J_V="SI",0,Datos!AG12)</f>
        <v>204</v>
      </c>
      <c r="R12">
        <f>IF(J_V="SI",0,Datos!AH12)</f>
        <v>603</v>
      </c>
      <c r="S12">
        <f>IF(J_V="SI",0,Datos!AI12)</f>
        <v>612</v>
      </c>
      <c r="T12">
        <f>IF(J_V="SI",0,Datos!AJ12)</f>
        <v>154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-7.1871127633209422E-2</v>
      </c>
      <c r="I14" s="402">
        <f>IF(ISNUMBER((Tasas!C14-Datos!BE14)/Datos!BE14),(Tasas!C14-Datos!BE14)/Datos!BE14," - ")</f>
        <v>-0.14611730443293311</v>
      </c>
      <c r="J14" s="400">
        <f>IF(ISNUMBER((Tasas!D14-Datos!BF14)/Datos!BF14),(Tasas!D14-Datos!BF14)/Datos!BF14," - ")</f>
        <v>-0.675250707881076</v>
      </c>
      <c r="K14" s="403">
        <f>IF(ISNUMBER((Tasas!E14-Datos!BG14)/Datos!BG14),(Tasas!E14-Datos!BG14)/Datos!BG14," - ")</f>
        <v>-3.6396491180127659E-2</v>
      </c>
      <c r="M14" t="e">
        <f>IF(Monitorios="SI",Datos!CE14,0)</f>
        <v>#REF!</v>
      </c>
      <c r="N14" t="e">
        <f>IF(Monitorios="SI",Datos!CF14,0)</f>
        <v>#REF!</v>
      </c>
      <c r="O14" t="e">
        <f>IF(Monitorios="SI",Datos!CG14,0)</f>
        <v>#REF!</v>
      </c>
      <c r="P14" t="e">
        <f>IF(Monitorios="SI",Datos!CH14,0)</f>
        <v>#REF!</v>
      </c>
      <c r="Q14">
        <f>IF(J_V="SI",0,Datos!AG14)</f>
        <v>204</v>
      </c>
      <c r="R14">
        <f>IF(J_V="SI",0,Datos!AH14)</f>
        <v>603</v>
      </c>
      <c r="S14">
        <f>IF(J_V="SI",0,Datos!AI14)</f>
        <v>612</v>
      </c>
      <c r="T14">
        <f>IF(J_V="SI",0,Datos!AJ14)</f>
        <v>154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-3.3251231527093597E-2</v>
      </c>
      <c r="E17" s="393">
        <f>IF(ISNUMBER(
   IF(D_I="SI",(Datos!J17-Datos!T17)/Datos!T17,(Datos!J17+Datos!AD17-(Datos!T17+Datos!AL17))/(Datos!T17+Datos!AL17))
     ),IF(D_I="SI",(Datos!J17-Datos!T17)/Datos!T17,(Datos!J17+Datos!AD17-(Datos!T17+Datos!AL17))/(Datos!T17+Datos!AL17))," - ")</f>
        <v>0.23557237464522232</v>
      </c>
      <c r="F17" s="393">
        <f>IF(ISNUMBER(
   IF(D_I="SI",(Datos!K17-Datos!U17)/Datos!U17,(Datos!K17+Datos!AE17-(Datos!U17+Datos!AM17))/(Datos!U17+Datos!AM17))
     ),IF(D_I="SI",(Datos!K17-Datos!U17)/Datos!U17,(Datos!K17+Datos!AE17-(Datos!U17+Datos!AM17))/(Datos!U17+Datos!AM17))," - ")</f>
        <v>0.24931838836716147</v>
      </c>
      <c r="G17" s="394">
        <f>IF(ISNUMBER(
   IF(D_I="SI",(Datos!L17-Datos!V17)/Datos!V17,(Datos!L17+Datos!AF17-(Datos!V17+Datos!AN17))/(Datos!V17+Datos!AN17))
     ),IF(D_I="SI",(Datos!L17-Datos!V17)/Datos!V17,(Datos!L17+Datos!AF17-(Datos!V17+Datos!AN17))/(Datos!V17+Datos!AN17))," - ")</f>
        <v>-6.751592356687898E-2</v>
      </c>
      <c r="H17" s="244">
        <f>IF(ISNUMBER((Datos!M17-Datos!W17)/Datos!W17),(Datos!M17-Datos!W17)/Datos!W17," - ")</f>
        <v>0.18367346938775511</v>
      </c>
      <c r="I17" s="395">
        <f>IF(ISNUMBER((Tasas!C17-Datos!BE17)/Datos!BE17),(Tasas!C17-Datos!BE17)/Datos!BE17," - ")</f>
        <v>-0.25360573804419673</v>
      </c>
      <c r="J17" s="394">
        <f>IF(ISNUMBER((Tasas!D17-Datos!BF17)/Datos!BF17),(Tasas!D17-Datos!BF17)/Datos!BF17," - ")</f>
        <v>-5.2544587185019531E-2</v>
      </c>
      <c r="K17" s="396">
        <f>IF(ISNUMBER((Tasas!E17-Datos!BG17)/Datos!BG17),(Tasas!E17-Datos!BG17)/Datos!BG17," - ")</f>
        <v>-5.4870018626690116E-2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-0.13253012048192772</v>
      </c>
      <c r="E18" s="393">
        <f>IF(ISNUMBER(
   IF(D_I="SI",(Datos!J18-Datos!T18)/Datos!T18,(Datos!J18+Datos!AD18-(Datos!T18+Datos!AL18))/(Datos!T18+Datos!AL18))
     ),IF(D_I="SI",(Datos!J18-Datos!T18)/Datos!T18,(Datos!J18+Datos!AD18-(Datos!T18+Datos!AL18))/(Datos!T18+Datos!AL18))," - ")</f>
        <v>0.65441176470588236</v>
      </c>
      <c r="F18" s="393">
        <f>IF(ISNUMBER(
   IF(D_I="SI",(Datos!K18-Datos!U18)/Datos!U18,(Datos!K18+Datos!AE18-(Datos!U18+Datos!AM18))/(Datos!U18+Datos!AM18))
     ),IF(D_I="SI",(Datos!K18-Datos!U18)/Datos!U18,(Datos!K18+Datos!AE18-(Datos!U18+Datos!AM18))/(Datos!U18+Datos!AM18))," - ")</f>
        <v>0.43859649122807015</v>
      </c>
      <c r="G18" s="394">
        <f>IF(ISNUMBER(
   IF(D_I="SI",(Datos!L18-Datos!V18)/Datos!V18,(Datos!L18+Datos!AF18-(Datos!V18+Datos!AN18))/(Datos!V18+Datos!AN18))
     ),IF(D_I="SI",(Datos!L18-Datos!V18)/Datos!V18,(Datos!L18+Datos!AF18-(Datos!V18+Datos!AN18))/(Datos!V18+Datos!AN18))," - ")</f>
        <v>0.625</v>
      </c>
      <c r="H18" s="244">
        <f>IF(ISNUMBER((Datos!M18-Datos!W18)/Datos!W18),(Datos!M18-Datos!W18)/Datos!W18," - ")</f>
        <v>0.375</v>
      </c>
      <c r="I18" s="395">
        <f>IF(ISNUMBER((Tasas!C18-Datos!BE18)/Datos!BE18),(Tasas!C18-Datos!BE18)/Datos!BE18," - ")</f>
        <v>0.12957317073170718</v>
      </c>
      <c r="J18" s="394">
        <f>IF(ISNUMBER((Tasas!D18-Datos!BF18)/Datos!BF18),(Tasas!D18-Datos!BF18)/Datos!BF18," - ")</f>
        <v>-4.4207317073170688E-2</v>
      </c>
      <c r="K18" s="396">
        <f>IF(ISNUMBER((Tasas!E18-Datos!BG18)/Datos!BG18),(Tasas!E18-Datos!BG18)/Datos!BG18," - ")</f>
        <v>2.2122981793198149E-2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-4.2458100558659215E-2</v>
      </c>
      <c r="E23" s="399">
        <f>IF(ISNUMBER(
   IF(D_I="SI",(Datos!J23-Datos!T23)/Datos!T23,(Datos!J23+Datos!AD23-(Datos!T23+Datos!AL23))/(Datos!T23+Datos!AL23))
     ),IF(D_I="SI",(Datos!J23-Datos!T23)/Datos!T23,(Datos!J23+Datos!AD23-(Datos!T23+Datos!AL23))/(Datos!T23+Datos!AL23))," - ")</f>
        <v>0.26866105140865526</v>
      </c>
      <c r="F23" s="399">
        <f>IF(ISNUMBER(
   IF(D_I="SI",(Datos!K23-Datos!U23)/Datos!U23,(Datos!K23+Datos!AE23-(Datos!U23+Datos!AM23))/(Datos!U23+Datos!AM23))
     ),IF(D_I="SI",(Datos!K23-Datos!U23)/Datos!U23,(Datos!K23+Datos!AE23-(Datos!U23+Datos!AM23))/(Datos!U23+Datos!AM23))," - ")</f>
        <v>0.26436140546569992</v>
      </c>
      <c r="G23" s="400">
        <f>IF(ISNUMBER(
   IF(D_I="SI",(Datos!L23-Datos!V23)/Datos!V23,(Datos!L23+Datos!AF23-(Datos!V23+Datos!AN23))/(Datos!V23+Datos!AN23))
     ),IF(D_I="SI",(Datos!L23-Datos!V23)/Datos!V23,(Datos!L23+Datos!AF23-(Datos!V23+Datos!AN23))/(Datos!V23+Datos!AN23))," - ")</f>
        <v>-9.3348891481913644E-3</v>
      </c>
      <c r="H23" s="401">
        <f>IF(ISNUMBER((Datos!M23-Datos!W23)/Datos!W23),(Datos!M23-Datos!W23)/Datos!W23," - ")</f>
        <v>0.19811320754716982</v>
      </c>
      <c r="I23" s="402">
        <f>IF(ISNUMBER((Tasas!C23-Datos!BE23)/Datos!BE23),(Tasas!C23-Datos!BE23)/Datos!BE23," - ")</f>
        <v>-0.21646998510926654</v>
      </c>
      <c r="J23" s="400">
        <f>IF(ISNUMBER((Tasas!D23-Datos!BF23)/Datos!BF23),(Tasas!D23-Datos!BF23)/Datos!BF23," - ")</f>
        <v>-5.2396567652370857E-2</v>
      </c>
      <c r="K23" s="403">
        <f>IF(ISNUMBER((Tasas!E23-Datos!BG23)/Datos!BG23),(Tasas!E23-Datos!BG23)/Datos!BG23," - ")</f>
        <v>-4.7367230797358412E-2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4.6746347941567068E-2</v>
      </c>
      <c r="E31" s="409">
        <f>IF(ISNUMBER(
   IF(J_V="SI",(Datos!J31-Datos!T31)/Datos!T31,(Datos!J31+Datos!Z31-(Datos!T31+Datos!AH31))/(Datos!T31+Datos!AH31))
     ),IF(J_V="SI",(Datos!J31-Datos!T31)/Datos!T31,(Datos!J31+Datos!Z31-(Datos!T31+Datos!AH31))/(Datos!T31+Datos!AH31))," - ")</f>
        <v>0.15508572901895062</v>
      </c>
      <c r="F31" s="409">
        <f>IF(ISNUMBER(
   IF(J_V="SI",(Datos!K31-Datos!U31)/Datos!U31,(Datos!K31+Datos!AA31-(Datos!U31+Datos!AI31))/(Datos!U31+Datos!AI31))
     ),IF(J_V="SI",(Datos!K31-Datos!U31)/Datos!U31,(Datos!K31+Datos!AA31-(Datos!U31+Datos!AI31))/(Datos!U31+Datos!AI31))," - ")</f>
        <v>0.1812516229550766</v>
      </c>
      <c r="G31" s="410">
        <f>IF(ISNUMBER(
   IF(J_V="SI",(Datos!L31-Datos!V31)/Datos!V31,(Datos!L31+Datos!AB31-(Datos!V31+Datos!AJ31))/(Datos!V31+Datos!AJ31))
     ),IF(J_V="SI",(Datos!L31-Datos!V31)/Datos!V31,(Datos!L31+Datos!AB31-(Datos!V31+Datos!AJ31))/(Datos!V31+Datos!AJ31))," - ")</f>
        <v>-4.3643745242324283E-2</v>
      </c>
      <c r="H31" s="411">
        <f>IF(ISNUMBER((Datos!M31-Datos!W31)/Datos!W31),(Datos!M31-Datos!W31)/Datos!W31," - ")</f>
        <v>4.4444444444444444E-3</v>
      </c>
      <c r="I31" s="408">
        <f>IF(ISNUMBER((Tasas!C31-Datos!BE31)/Datos!BE31),(Tasas!C31-Datos!BE31)/Datos!BE31," - ")</f>
        <v>-0.19038735170986834</v>
      </c>
      <c r="J31" s="409">
        <f>IF(ISNUMBER((Tasas!D31-Datos!BF31)/Datos!BF31),(Tasas!D31-Datos!BF31)/Datos!BF31," - ")</f>
        <v>-0.60107904825062142</v>
      </c>
      <c r="K31" s="410">
        <f>IF(ISNUMBER((Tasas!E31-Datos!BG31)/Datos!BG31),(Tasas!E31-Datos!BG31)/Datos!BG31," - ")</f>
        <v>-5.2120597452820293E-2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5.1976452029055271E-2</v>
      </c>
      <c r="E33" s="303">
        <f t="shared" si="1"/>
        <v>0.19130612224124485</v>
      </c>
      <c r="F33" s="303">
        <f t="shared" si="1"/>
        <v>0.16729837566021766</v>
      </c>
      <c r="G33" s="304">
        <f t="shared" si="1"/>
        <v>0.51218137739534686</v>
      </c>
      <c r="H33" s="310">
        <f t="shared" si="1"/>
        <v>0.20362541353393232</v>
      </c>
      <c r="I33" s="302">
        <f t="shared" si="1"/>
        <v>0.24899448880932681</v>
      </c>
      <c r="J33" s="303">
        <f t="shared" si="1"/>
        <v>0.31158935091672951</v>
      </c>
      <c r="K33" s="304">
        <f t="shared" si="1"/>
        <v>5.1474155368930102E-2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th21QLuO1RGgW1U5CPyDmI+yxzl5WxXt9IS8VupZl+GvehZ+Lx+bnXpuRHOZCnPF4j5EQsE82amyRSeROfT3g==" saltValue="b2UeDC/80LGS/wb86uGtY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